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rr-soy-notill" sheetId="1" r:id="rId1"/>
    <sheet name="machinery costs" sheetId="2" r:id="rId2"/>
    <sheet name="Quick Stats" sheetId="3" r:id="rId3"/>
  </sheets>
  <definedNames>
    <definedName name="_xlnm.Print_Area" localSheetId="0">'rr-soy-notill'!$A$1:$N$110</definedName>
  </definedNames>
  <calcPr calcId="152511"/>
</workbook>
</file>

<file path=xl/calcChain.xml><?xml version="1.0" encoding="utf-8"?>
<calcChain xmlns="http://schemas.openxmlformats.org/spreadsheetml/2006/main">
  <c r="M82" i="1" l="1"/>
  <c r="I8" i="2"/>
  <c r="D8" i="2"/>
  <c r="C8" i="2"/>
  <c r="N24" i="1"/>
  <c r="M24" i="1"/>
  <c r="L24" i="1"/>
  <c r="K24" i="1"/>
  <c r="D5" i="3"/>
  <c r="H16" i="1"/>
  <c r="I17" i="3"/>
  <c r="G17" i="3"/>
  <c r="G11" i="3"/>
  <c r="I11" i="3"/>
  <c r="D12" i="3"/>
  <c r="D10" i="3"/>
  <c r="D9" i="3"/>
  <c r="D8" i="3"/>
  <c r="I4" i="3"/>
  <c r="G4" i="3"/>
  <c r="D3" i="2"/>
  <c r="C3" i="2" s="1"/>
  <c r="I3" i="2"/>
  <c r="D4" i="2"/>
  <c r="C4" i="2" s="1"/>
  <c r="E4" i="2" s="1"/>
  <c r="I4" i="2"/>
  <c r="D5" i="2"/>
  <c r="I5" i="2"/>
  <c r="D6" i="2"/>
  <c r="C6" i="2"/>
  <c r="I6" i="2"/>
  <c r="D7" i="2"/>
  <c r="C7" i="2"/>
  <c r="E7" i="2" s="1"/>
  <c r="I7" i="2"/>
  <c r="D9" i="2"/>
  <c r="C9" i="2"/>
  <c r="G9" i="2" s="1"/>
  <c r="I9" i="2"/>
  <c r="D10" i="2"/>
  <c r="C10" i="2"/>
  <c r="E10" i="2" s="1"/>
  <c r="F10" i="2"/>
  <c r="I10" i="2"/>
  <c r="D11" i="2"/>
  <c r="C11" i="2"/>
  <c r="I11" i="2"/>
  <c r="D2" i="2"/>
  <c r="I2" i="2"/>
  <c r="L82" i="1"/>
  <c r="L87" i="1"/>
  <c r="L90" i="1"/>
  <c r="M90" i="1"/>
  <c r="L85" i="1"/>
  <c r="L83" i="1"/>
  <c r="K91" i="1"/>
  <c r="K87" i="1"/>
  <c r="K83" i="1"/>
  <c r="H19" i="1"/>
  <c r="G19" i="1"/>
  <c r="M19" i="1"/>
  <c r="I10" i="3" s="1"/>
  <c r="F19" i="1"/>
  <c r="E19" i="1"/>
  <c r="I19" i="1"/>
  <c r="K19" i="1" s="1"/>
  <c r="I18" i="1"/>
  <c r="N11" i="1"/>
  <c r="N14" i="1"/>
  <c r="N37" i="1"/>
  <c r="M11" i="1"/>
  <c r="I5" i="3"/>
  <c r="L11" i="1"/>
  <c r="L14" i="1" s="1"/>
  <c r="G5" i="3"/>
  <c r="K11" i="1"/>
  <c r="K14" i="1"/>
  <c r="N20" i="1"/>
  <c r="M20" i="1"/>
  <c r="L20" i="1"/>
  <c r="K20" i="1"/>
  <c r="H18" i="1"/>
  <c r="N36" i="1"/>
  <c r="N16" i="1"/>
  <c r="G18" i="1"/>
  <c r="F18" i="1"/>
  <c r="E18" i="1"/>
  <c r="M16" i="1"/>
  <c r="I8" i="3"/>
  <c r="L16" i="1"/>
  <c r="G8" i="3" s="1"/>
  <c r="K16" i="1"/>
  <c r="K36" i="1"/>
  <c r="L36" i="1"/>
  <c r="M36" i="1"/>
  <c r="N18" i="1"/>
  <c r="L18" i="1"/>
  <c r="G9" i="3" s="1"/>
  <c r="F8" i="2"/>
  <c r="G11" i="2"/>
  <c r="F11" i="2"/>
  <c r="E11" i="2"/>
  <c r="H11" i="2" s="1"/>
  <c r="J11" i="2" s="1"/>
  <c r="I91" i="1" s="1"/>
  <c r="G4" i="2"/>
  <c r="E9" i="2"/>
  <c r="F9" i="2"/>
  <c r="G10" i="2"/>
  <c r="E6" i="2"/>
  <c r="F3" i="2"/>
  <c r="N19" i="1"/>
  <c r="M14" i="1"/>
  <c r="K37" i="1"/>
  <c r="M37" i="1"/>
  <c r="C2" i="2" l="1"/>
  <c r="E8" i="2"/>
  <c r="G8" i="2"/>
  <c r="G7" i="2"/>
  <c r="F4" i="2"/>
  <c r="H4" i="2" s="1"/>
  <c r="J4" i="2" s="1"/>
  <c r="I84" i="1" s="1"/>
  <c r="K18" i="1"/>
  <c r="M18" i="1"/>
  <c r="H7" i="2"/>
  <c r="J7" i="2" s="1"/>
  <c r="I87" i="1" s="1"/>
  <c r="I15" i="3"/>
  <c r="F7" i="2"/>
  <c r="L37" i="1"/>
  <c r="L88" i="1"/>
  <c r="L84" i="1"/>
  <c r="M84" i="1" s="1"/>
  <c r="H10" i="2"/>
  <c r="J10" i="2" s="1"/>
  <c r="I90" i="1" s="1"/>
  <c r="H9" i="2"/>
  <c r="J9" i="2" s="1"/>
  <c r="I89" i="1" s="1"/>
  <c r="C5" i="2"/>
  <c r="G3" i="2"/>
  <c r="E3" i="2"/>
  <c r="H3" i="2" s="1"/>
  <c r="J3" i="2" s="1"/>
  <c r="I83" i="1" s="1"/>
  <c r="D12" i="2"/>
  <c r="G6" i="2"/>
  <c r="F6" i="2"/>
  <c r="H6" i="2" s="1"/>
  <c r="J6" i="2" s="1"/>
  <c r="I86" i="1" s="1"/>
  <c r="L19" i="1"/>
  <c r="G10" i="3" l="1"/>
  <c r="H8" i="2"/>
  <c r="J8" i="2" s="1"/>
  <c r="I88" i="1" s="1"/>
  <c r="G15" i="3"/>
  <c r="I9" i="3"/>
  <c r="F5" i="2"/>
  <c r="E5" i="2"/>
  <c r="H5" i="2" s="1"/>
  <c r="J5" i="2" s="1"/>
  <c r="I85" i="1" s="1"/>
  <c r="G5" i="2"/>
  <c r="K88" i="1"/>
  <c r="K92" i="1" s="1"/>
  <c r="K93" i="1" s="1"/>
  <c r="L89" i="1"/>
  <c r="M89" i="1" s="1"/>
  <c r="M93" i="1" s="1"/>
  <c r="G2" i="2"/>
  <c r="G12" i="2" s="1"/>
  <c r="E2" i="2"/>
  <c r="F2" i="2"/>
  <c r="F12" i="2" s="1"/>
  <c r="K26" i="1" l="1"/>
  <c r="L26" i="1"/>
  <c r="M26" i="1"/>
  <c r="N26" i="1"/>
  <c r="E12" i="2"/>
  <c r="H2" i="2"/>
  <c r="L25" i="1"/>
  <c r="K25" i="1"/>
  <c r="M25" i="1"/>
  <c r="N25" i="1"/>
  <c r="K29" i="1" l="1"/>
  <c r="K32" i="1" s="1"/>
  <c r="L29" i="1"/>
  <c r="L32" i="1"/>
  <c r="N29" i="1"/>
  <c r="N32" i="1"/>
  <c r="H12" i="2"/>
  <c r="J2" i="2"/>
  <c r="I82" i="1" s="1"/>
  <c r="I93" i="1" s="1"/>
  <c r="M29" i="1"/>
  <c r="M32" i="1"/>
  <c r="K49" i="1" l="1"/>
  <c r="K33" i="1"/>
  <c r="K44" i="1"/>
  <c r="N38" i="1"/>
  <c r="N42" i="1" s="1"/>
  <c r="L38" i="1"/>
  <c r="K38" i="1"/>
  <c r="K42" i="1" s="1"/>
  <c r="M38" i="1"/>
  <c r="L33" i="1"/>
  <c r="L49" i="1"/>
  <c r="M33" i="1"/>
  <c r="M49" i="1"/>
  <c r="N33" i="1"/>
  <c r="N49" i="1"/>
  <c r="N44" i="1"/>
  <c r="N50" i="1" l="1"/>
  <c r="N45" i="1"/>
  <c r="I18" i="3" s="1"/>
  <c r="I16" i="3"/>
  <c r="M42" i="1"/>
  <c r="M44" i="1" s="1"/>
  <c r="K50" i="1"/>
  <c r="K45" i="1"/>
  <c r="G16" i="3"/>
  <c r="L42" i="1"/>
  <c r="L44" i="1" s="1"/>
  <c r="L45" i="1" l="1"/>
  <c r="G18" i="3" s="1"/>
  <c r="L50" i="1"/>
  <c r="M45" i="1"/>
  <c r="M50" i="1"/>
  <c r="K51" i="1"/>
  <c r="K48" i="1"/>
  <c r="K47" i="1"/>
  <c r="N51" i="1"/>
  <c r="N47" i="1"/>
  <c r="N48" i="1"/>
  <c r="I20" i="3" l="1"/>
  <c r="M51" i="1"/>
  <c r="M48" i="1"/>
  <c r="I21" i="3" s="1"/>
  <c r="M47" i="1"/>
  <c r="L51" i="1"/>
  <c r="G20" i="3"/>
  <c r="L48" i="1"/>
  <c r="G21" i="3" s="1"/>
  <c r="L47" i="1"/>
</calcChain>
</file>

<file path=xl/sharedStrings.xml><?xml version="1.0" encoding="utf-8"?>
<sst xmlns="http://schemas.openxmlformats.org/spreadsheetml/2006/main" count="189" uniqueCount="162">
  <si>
    <t>No-Tillage Practices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</si>
  <si>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</si>
  <si>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</si>
  <si>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</si>
  <si>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</si>
  <si>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</si>
  <si>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</si>
  <si>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</si>
  <si>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</si>
  <si>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bu</t>
  </si>
  <si>
    <t>VARIABLE  COSTS</t>
  </si>
  <si>
    <t>P2O5(lbs)</t>
  </si>
  <si>
    <t>lb</t>
  </si>
  <si>
    <t>K2O(lbs)</t>
  </si>
  <si>
    <t>Lime(ton)</t>
  </si>
  <si>
    <t>ton</t>
  </si>
  <si>
    <t>Trucking - Fuel Only</t>
  </si>
  <si>
    <t>mo.</t>
  </si>
  <si>
    <t>TOTAL VARIABLE COSTS</t>
  </si>
  <si>
    <t>FIXED COSTS</t>
  </si>
  <si>
    <t>hours</t>
  </si>
  <si>
    <t>/hr</t>
  </si>
  <si>
    <t>Management Charge</t>
  </si>
  <si>
    <t>TOTAL FIXED COSTS</t>
  </si>
  <si>
    <t>TOTAL COSTS</t>
  </si>
  <si>
    <t>-Per Acre</t>
  </si>
  <si>
    <t>-Per Bushel</t>
  </si>
  <si>
    <t>RETURN ABOVE VARIABLE COSTS</t>
  </si>
  <si>
    <t>RETURN ABOVE TOTAL COSTS</t>
  </si>
  <si>
    <t>Assumes only maintenance application of fertilizer needed, soil test values of 25 ppm P/A and 150 ppm K/A.</t>
  </si>
  <si>
    <t xml:space="preserve">weed control.  While this intrinsic value is not included in the budget, it should be considered when exploring </t>
  </si>
  <si>
    <t>opportunities with Roundup Ready soybeans.</t>
  </si>
  <si>
    <t>See table below for specific calculations.</t>
  </si>
  <si>
    <t xml:space="preserve">Part or all of labor may be a variable cost if paid labor varies with acres farmed. 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</si>
  <si>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</si>
  <si>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</si>
  <si>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</si>
  <si>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</si>
  <si>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Acres/  Hr</t>
  </si>
  <si>
    <t>Repairs ($/A)</t>
  </si>
  <si>
    <t>Fertilizer Spreader</t>
  </si>
  <si>
    <t>Price of Diesel Fuel</t>
  </si>
  <si>
    <t>*Fuel calculations are based on the implement plus tractor.</t>
  </si>
  <si>
    <r>
      <t xml:space="preserve">Soybeans </t>
    </r>
    <r>
      <rPr>
        <vertAlign val="superscript"/>
        <sz val="10"/>
        <rFont val="Arial"/>
        <family val="2"/>
      </rPr>
      <t>1</t>
    </r>
  </si>
  <si>
    <t>TOTAL RECEIPTS</t>
  </si>
  <si>
    <t>Herbicide</t>
  </si>
  <si>
    <t>Insecticide</t>
  </si>
  <si>
    <t>Fungicide</t>
  </si>
  <si>
    <r>
      <t xml:space="preserve">Seed </t>
    </r>
    <r>
      <rPr>
        <vertAlign val="superscript"/>
        <sz val="10"/>
        <rFont val="Arial"/>
        <family val="2"/>
      </rPr>
      <t>4</t>
    </r>
  </si>
  <si>
    <r>
      <t>Fertilizer</t>
    </r>
    <r>
      <rPr>
        <vertAlign val="superscript"/>
        <sz val="10"/>
        <rFont val="Arial"/>
        <family val="2"/>
      </rPr>
      <t xml:space="preserve"> 5</t>
    </r>
  </si>
  <si>
    <t>seeds</t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</si>
  <si>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</si>
  <si>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>Fuel, Oil, Grease</t>
    </r>
    <r>
      <rPr>
        <vertAlign val="superscript"/>
        <sz val="10"/>
        <rFont val="Arial"/>
        <family val="2"/>
      </rPr>
      <t xml:space="preserve"> 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</si>
  <si>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</si>
  <si>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Crop Insurance </t>
    </r>
    <r>
      <rPr>
        <vertAlign val="superscript"/>
        <sz val="10"/>
        <rFont val="Arial"/>
        <family val="2"/>
      </rPr>
      <t>9</t>
    </r>
  </si>
  <si>
    <r>
      <t xml:space="preserve">Miscellaneous </t>
    </r>
    <r>
      <rPr>
        <vertAlign val="superscript"/>
        <sz val="10"/>
        <rFont val="Arial"/>
        <family val="2"/>
      </rPr>
      <t>10</t>
    </r>
  </si>
  <si>
    <r>
      <t xml:space="preserve">Int. on Oper. Cap. </t>
    </r>
    <r>
      <rPr>
        <vertAlign val="superscript"/>
        <sz val="10"/>
        <rFont val="Arial"/>
        <family val="2"/>
      </rPr>
      <t>11</t>
    </r>
  </si>
  <si>
    <r>
      <t xml:space="preserve">Hired Labor </t>
    </r>
    <r>
      <rPr>
        <vertAlign val="superscript"/>
        <sz val="10"/>
        <rFont val="Arial"/>
        <family val="2"/>
      </rPr>
      <t>12</t>
    </r>
  </si>
  <si>
    <r>
      <t>Labor Charge</t>
    </r>
    <r>
      <rPr>
        <vertAlign val="superscript"/>
        <sz val="10"/>
        <rFont val="Arial"/>
        <family val="2"/>
      </rPr>
      <t xml:space="preserve"> 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</si>
  <si>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</si>
  <si>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t>Fuel</t>
  </si>
  <si>
    <t>F&amp;L</t>
  </si>
  <si>
    <t>Pickup Truck (1/2)**</t>
  </si>
  <si>
    <t>***</t>
  </si>
  <si>
    <t>**Semi Tractor Trailer and Pickup Truck are assumed to be used equipment.</t>
  </si>
  <si>
    <t>***Fuel for Semi is included in Budget as Trucking - Fuel Only</t>
  </si>
  <si>
    <t>See table below for specific calculations.  Lubrication costs are assumed to be 10% of fuel costs.</t>
  </si>
  <si>
    <t>Machinery Cost</t>
  </si>
  <si>
    <t>Acres per Year</t>
  </si>
  <si>
    <t>Cost per Acre</t>
  </si>
  <si>
    <t>Machinery and Equipment Charge</t>
  </si>
  <si>
    <t>Repairs</t>
  </si>
  <si>
    <t>PROD.</t>
  </si>
  <si>
    <t>YOUR</t>
  </si>
  <si>
    <t>NUMBERS</t>
  </si>
  <si>
    <t>of gross income</t>
  </si>
  <si>
    <t xml:space="preserve">Values highlighted in gold may be changed to assist in computing "Your Budget" Column using macros embeded within  </t>
  </si>
  <si>
    <t>the spreadsheet.</t>
  </si>
  <si>
    <t>These cells may be input manually, but macros will be overwritten!</t>
  </si>
  <si>
    <t>Values highlighted in gray are stand alone cells that require direct input from the user.</t>
  </si>
  <si>
    <t>-----</t>
  </si>
  <si>
    <t xml:space="preserve">Machinery and Equipment charge = </t>
  </si>
  <si>
    <t xml:space="preserve"> 6.0% Interest on Average Value, 0.5% Insurance Cost on Average Value and 1.0% Housing Cost on Average Value.</t>
  </si>
  <si>
    <t>Salvage Values are based on ASAE formulas.</t>
  </si>
  <si>
    <t xml:space="preserve">Machines are all assumed to be new and in the first year of use (Except for Semi Tractor Trailer and Pickup Truck). </t>
  </si>
  <si>
    <r>
      <t xml:space="preserve">RETURN TO LABOR AND MANAGEMENT </t>
    </r>
    <r>
      <rPr>
        <b/>
        <vertAlign val="superscript"/>
        <sz val="10"/>
        <rFont val="Arial"/>
        <family val="2"/>
      </rPr>
      <t>15</t>
    </r>
  </si>
  <si>
    <r>
      <t>Land Charge</t>
    </r>
    <r>
      <rPr>
        <vertAlign val="superscript"/>
        <sz val="10"/>
        <rFont val="Arial"/>
        <family val="2"/>
      </rPr>
      <t>14</t>
    </r>
  </si>
  <si>
    <t>/1000</t>
  </si>
  <si>
    <t>/acre</t>
  </si>
  <si>
    <t>Updated:</t>
  </si>
  <si>
    <t>Includes supplies, utilities, soil tests, small tools, software/hardware, transport of supplies and equipment, etc…</t>
  </si>
  <si>
    <t>RETURN TO LAND</t>
  </si>
  <si>
    <t>/ton</t>
  </si>
  <si>
    <t>Assumes MAP(11-52-0):</t>
  </si>
  <si>
    <t>Potash(0-0-60):</t>
  </si>
  <si>
    <t>Cost per Acre = Machinery Cost (New Cost) Assumes 8 Year Useful Life using Straight Line Depreciation,</t>
  </si>
  <si>
    <t>Machinery</t>
  </si>
  <si>
    <t>Average Value</t>
  </si>
  <si>
    <t>Depreciation</t>
  </si>
  <si>
    <t>Cost Capital</t>
  </si>
  <si>
    <t>Insurance</t>
  </si>
  <si>
    <t>Housing</t>
  </si>
  <si>
    <t>Total</t>
  </si>
  <si>
    <t>Cost/acre</t>
  </si>
  <si>
    <t>Hours / Year</t>
  </si>
  <si>
    <t>Acres/Year</t>
  </si>
  <si>
    <t>Land charges vary throughout the state, check your local rates.</t>
  </si>
  <si>
    <t>Fertilizer prices vary over time and by area.  Check with local sources for current prices.</t>
  </si>
  <si>
    <t>Item</t>
  </si>
  <si>
    <t>Input</t>
  </si>
  <si>
    <t>Yield in bushels/acre</t>
  </si>
  <si>
    <t>Receipts</t>
  </si>
  <si>
    <t>/bushel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</si>
  <si>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</si>
  <si>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</si>
  <si>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</si>
  <si>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</si>
  <si>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</si>
  <si>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</si>
  <si>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</si>
  <si>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</si>
  <si>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</si>
  <si>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Soybean Price</t>
  </si>
  <si>
    <t>/1000 seeds</t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</si>
  <si>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</si>
  <si>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</si>
  <si>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</si>
  <si>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</si>
  <si>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</si>
  <si>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30 Ft No-Till Drill</t>
  </si>
  <si>
    <t>30' Grain Head</t>
  </si>
  <si>
    <t>2 Semi Tractor Trailer**</t>
  </si>
  <si>
    <t>Grain Cart</t>
  </si>
  <si>
    <t>Fuel*        (gal/A)</t>
  </si>
  <si>
    <t>Seed costs are per 1000 seeds, treated.</t>
  </si>
  <si>
    <t>Interest on all variable costs, except trucking.</t>
  </si>
  <si>
    <t>Reflects 2000 acres, no-till RR soybeans/conservation tillage corn. See table below for specific calculations.</t>
  </si>
  <si>
    <t xml:space="preserve">Average based on "Ohio Cropland Values and Cash Rents" OSUE Factsheet. </t>
  </si>
  <si>
    <t>Machinery cost estimates, fuel estimates and cost calculations based on information from the "Farm Machinery Cost Estimates"</t>
  </si>
  <si>
    <t>See the reference online at:</t>
  </si>
  <si>
    <t>Boom Sprayer, Self Prop.</t>
  </si>
  <si>
    <t>Combine 340 HP</t>
  </si>
  <si>
    <t>310 HP Tractor</t>
  </si>
  <si>
    <t>105 HP Tractor</t>
  </si>
  <si>
    <t xml:space="preserve">Crop Insurance cost is based Revenue Protection at 75% coverage level and 100% Price Protection Level. </t>
  </si>
  <si>
    <t>It’s considered a fixed cost if labor costs do not change with acres farmed.</t>
  </si>
  <si>
    <t>Breakeven Cost</t>
  </si>
  <si>
    <t>http://faculty.apec.umn.edu/wlazarus/documents/machdata.pdf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</si>
  <si>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</si>
  <si>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</si>
  <si>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LABOR, AND MANAGEMENT</t>
  </si>
  <si>
    <t>SOYBEAN PRODUCTION BUDGET (Roundup Ready) - 2013</t>
  </si>
  <si>
    <t>Grower or Market Premium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</si>
  <si>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</si>
  <si>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</si>
  <si>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Price is based on current Ohio November Forward contract price</t>
  </si>
  <si>
    <t>SOYBEAN SELECTED BUDGET STATS - 2013</t>
  </si>
  <si>
    <t>Return to Total Costs</t>
  </si>
  <si>
    <t>Mark Loux, Extension Specialist - Weed Management in Field Crops</t>
  </si>
  <si>
    <t xml:space="preserve">Prepared by: Barry Ward, Leader, Production Business Management; Laura Lindsey, Extension Soybean and Small Grain Specialist, </t>
  </si>
  <si>
    <t xml:space="preserve">Based on use of: fall applied glyphosate (with surfactant and AMS) plus 2,4-D, preplant Valor XLT, </t>
  </si>
  <si>
    <t xml:space="preserve">post glyphosate X 2 (with adjuvant and AMS). Roundup Ready soybeans are often used in part as a tool for perennial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</si>
</sst>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/>
    <xf numFmtId="0" fontId="6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6" fillId="0" borderId="0" xfId="0" applyFont="1"/>
    <xf numFmtId="165" fontId="3" fillId="0" borderId="0" xfId="0" applyNumberFormat="1" applyFont="1"/>
    <xf numFmtId="2" fontId="3" fillId="0" borderId="3" xfId="0" quotePrefix="1" applyNumberFormat="1" applyFont="1" applyBorder="1"/>
    <xf numFmtId="167" fontId="3" fillId="0" borderId="0" xfId="0" applyNumberFormat="1" applyFont="1"/>
    <xf numFmtId="168" fontId="3" fillId="0" borderId="0" xfId="0" applyNumberFormat="1" applyFont="1"/>
    <xf numFmtId="49" fontId="6" fillId="0" borderId="0" xfId="0" applyNumberFormat="1" applyFont="1"/>
    <xf numFmtId="2" fontId="0" fillId="0" borderId="0" xfId="0" applyNumberFormat="1"/>
    <xf numFmtId="0" fontId="9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9" fontId="11" fillId="0" borderId="0" xfId="4" applyFont="1"/>
    <xf numFmtId="0" fontId="12" fillId="0" borderId="0" xfId="0" applyFont="1" applyAlignment="1">
      <alignment horizontal="center"/>
    </xf>
    <xf numFmtId="0" fontId="12" fillId="0" borderId="0" xfId="0" applyFont="1"/>
    <xf numFmtId="170" fontId="12" fillId="0" borderId="0" xfId="1" applyNumberFormat="1" applyFont="1" applyAlignment="1">
      <alignment horizontal="center"/>
    </xf>
    <xf numFmtId="9" fontId="11" fillId="0" borderId="0" xfId="4" applyFont="1" applyAlignment="1">
      <alignment horizontal="right"/>
    </xf>
    <xf numFmtId="170" fontId="11" fillId="0" borderId="0" xfId="1" applyNumberFormat="1" applyFont="1"/>
    <xf numFmtId="2" fontId="12" fillId="0" borderId="0" xfId="0" applyNumberFormat="1" applyFont="1"/>
    <xf numFmtId="1" fontId="12" fillId="0" borderId="0" xfId="4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left"/>
    </xf>
    <xf numFmtId="7" fontId="12" fillId="0" borderId="0" xfId="2" applyNumberFormat="1" applyFont="1"/>
    <xf numFmtId="0" fontId="11" fillId="0" borderId="0" xfId="0" applyFont="1" applyFill="1"/>
    <xf numFmtId="0" fontId="11" fillId="0" borderId="0" xfId="0" quotePrefix="1" applyFont="1" applyFill="1" applyAlignment="1">
      <alignment horizontal="left"/>
    </xf>
    <xf numFmtId="170" fontId="11" fillId="0" borderId="0" xfId="0" applyNumberFormat="1" applyFont="1" applyAlignment="1">
      <alignment horizontal="right"/>
    </xf>
    <xf numFmtId="0" fontId="0" fillId="0" borderId="2" xfId="0" applyBorder="1" applyAlignment="1">
      <alignment horizontal="center" wrapText="1"/>
    </xf>
    <xf numFmtId="2" fontId="0" fillId="0" borderId="2" xfId="0" applyNumberFormat="1" applyBorder="1"/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2" xfId="2" applyNumberFormat="1" applyFont="1" applyBorder="1" applyAlignment="1">
      <alignment horizontal="center"/>
    </xf>
    <xf numFmtId="2" fontId="6" fillId="0" borderId="0" xfId="0" applyNumberFormat="1" applyFont="1"/>
    <xf numFmtId="0" fontId="4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0" fillId="2" borderId="0" xfId="0" applyFill="1"/>
    <xf numFmtId="0" fontId="13" fillId="2" borderId="2" xfId="0" applyFont="1" applyFill="1" applyBorder="1"/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2" fontId="6" fillId="3" borderId="0" xfId="0" applyNumberFormat="1" applyFont="1" applyFill="1"/>
    <xf numFmtId="2" fontId="6" fillId="4" borderId="0" xfId="0" applyNumberFormat="1" applyFont="1" applyFill="1"/>
    <xf numFmtId="2" fontId="6" fillId="0" borderId="3" xfId="0" quotePrefix="1" applyNumberFormat="1" applyFont="1" applyBorder="1"/>
    <xf numFmtId="168" fontId="6" fillId="3" borderId="0" xfId="0" applyNumberFormat="1" applyFont="1" applyFill="1"/>
    <xf numFmtId="165" fontId="13" fillId="2" borderId="0" xfId="0" applyNumberFormat="1" applyFont="1" applyFill="1"/>
    <xf numFmtId="0" fontId="13" fillId="2" borderId="0" xfId="0" applyFont="1" applyFill="1"/>
    <xf numFmtId="2" fontId="13" fillId="2" borderId="0" xfId="0" applyNumberFormat="1" applyFont="1" applyFill="1"/>
    <xf numFmtId="0" fontId="13" fillId="0" borderId="0" xfId="0" applyFont="1"/>
    <xf numFmtId="0" fontId="6" fillId="2" borderId="0" xfId="0" applyFont="1" applyFill="1"/>
    <xf numFmtId="10" fontId="13" fillId="2" borderId="0" xfId="0" applyNumberFormat="1" applyFont="1" applyFill="1"/>
    <xf numFmtId="9" fontId="13" fillId="2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11" fillId="2" borderId="1" xfId="0" applyFont="1" applyFill="1" applyBorder="1"/>
    <xf numFmtId="0" fontId="11" fillId="2" borderId="0" xfId="0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center"/>
    </xf>
    <xf numFmtId="0" fontId="11" fillId="2" borderId="2" xfId="2" applyNumberFormat="1" applyFont="1" applyFill="1" applyBorder="1" applyAlignment="1">
      <alignment horizontal="center"/>
    </xf>
    <xf numFmtId="164" fontId="11" fillId="0" borderId="0" xfId="0" quotePrefix="1" applyNumberFormat="1" applyFont="1" applyBorder="1" applyAlignment="1">
      <alignment horizontal="center"/>
    </xf>
    <xf numFmtId="2" fontId="11" fillId="0" borderId="0" xfId="0" quotePrefix="1" applyNumberFormat="1" applyFont="1" applyBorder="1" applyAlignment="1">
      <alignment horizontal="center"/>
    </xf>
    <xf numFmtId="164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2" fontId="11" fillId="0" borderId="2" xfId="0" quotePrefix="1" applyNumberFormat="1" applyFont="1" applyBorder="1" applyAlignment="1">
      <alignment horizontal="center"/>
    </xf>
    <xf numFmtId="170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left"/>
    </xf>
    <xf numFmtId="164" fontId="11" fillId="2" borderId="0" xfId="0" applyNumberFormat="1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5" fontId="6" fillId="3" borderId="0" xfId="0" applyNumberFormat="1" applyFont="1" applyFill="1"/>
    <xf numFmtId="2" fontId="12" fillId="3" borderId="0" xfId="0" applyNumberFormat="1" applyFont="1" applyFill="1" applyAlignment="1">
      <alignment horizontal="center"/>
    </xf>
    <xf numFmtId="7" fontId="12" fillId="2" borderId="0" xfId="2" applyNumberFormat="1" applyFont="1" applyFill="1"/>
    <xf numFmtId="4" fontId="3" fillId="0" borderId="0" xfId="0" applyNumberFormat="1" applyFont="1"/>
    <xf numFmtId="4" fontId="6" fillId="3" borderId="0" xfId="0" applyNumberFormat="1" applyFont="1" applyFill="1"/>
    <xf numFmtId="4" fontId="0" fillId="0" borderId="0" xfId="0" applyNumberFormat="1"/>
    <xf numFmtId="4" fontId="6" fillId="4" borderId="0" xfId="0" applyNumberFormat="1" applyFont="1" applyFill="1"/>
    <xf numFmtId="4" fontId="3" fillId="0" borderId="0" xfId="0" quotePrefix="1" applyNumberFormat="1" applyFont="1" applyBorder="1"/>
    <xf numFmtId="4" fontId="6" fillId="0" borderId="0" xfId="0" quotePrefix="1" applyNumberFormat="1" applyFont="1" applyBorder="1"/>
    <xf numFmtId="4" fontId="6" fillId="0" borderId="0" xfId="0" applyNumberFormat="1" applyFont="1"/>
    <xf numFmtId="0" fontId="4" fillId="0" borderId="0" xfId="0" applyFont="1"/>
    <xf numFmtId="169" fontId="13" fillId="2" borderId="0" xfId="0" applyNumberFormat="1" applyFont="1" applyFill="1"/>
    <xf numFmtId="0" fontId="11" fillId="0" borderId="0" xfId="0" quotePrefix="1" applyFont="1"/>
    <xf numFmtId="2" fontId="11" fillId="0" borderId="0" xfId="0" quotePrefix="1" applyNumberFormat="1" applyFont="1"/>
    <xf numFmtId="1" fontId="11" fillId="0" borderId="0" xfId="0" applyNumberFormat="1" applyFont="1" applyFill="1"/>
    <xf numFmtId="0" fontId="11" fillId="2" borderId="0" xfId="0" quotePrefix="1" applyFont="1" applyFill="1"/>
    <xf numFmtId="4" fontId="6" fillId="0" borderId="0" xfId="0" applyNumberFormat="1" applyFont="1" applyFill="1"/>
    <xf numFmtId="2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  <xf numFmtId="164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4" fontId="0" fillId="0" borderId="2" xfId="0" applyNumberFormat="1" applyBorder="1"/>
    <xf numFmtId="164" fontId="11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 wrapText="1"/>
    </xf>
    <xf numFmtId="2" fontId="0" fillId="3" borderId="0" xfId="0" applyNumberFormat="1" applyFill="1"/>
    <xf numFmtId="2" fontId="11" fillId="3" borderId="0" xfId="0" applyNumberFormat="1" applyFont="1" applyFill="1" applyBorder="1" applyAlignment="1">
      <alignment horizontal="center"/>
    </xf>
    <xf numFmtId="2" fontId="11" fillId="3" borderId="0" xfId="0" applyNumberFormat="1" applyFont="1" applyFill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39" fontId="11" fillId="3" borderId="2" xfId="0" applyNumberFormat="1" applyFont="1" applyFill="1" applyBorder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2" fontId="0" fillId="0" borderId="0" xfId="0" quotePrefix="1" applyNumberFormat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6" fillId="0" borderId="0" xfId="3" applyFont="1" applyAlignment="1" applyProtection="1"/>
    <xf numFmtId="165" fontId="0" fillId="3" borderId="2" xfId="0" applyNumberFormat="1" applyFill="1" applyBorder="1" applyAlignment="1">
      <alignment horizontal="center"/>
    </xf>
    <xf numFmtId="0" fontId="19" fillId="0" borderId="0" xfId="0" applyFont="1"/>
    <xf numFmtId="0" fontId="18" fillId="5" borderId="4" xfId="0" applyFont="1" applyFill="1" applyBorder="1"/>
    <xf numFmtId="0" fontId="19" fillId="5" borderId="5" xfId="0" applyFont="1" applyFill="1" applyBorder="1"/>
    <xf numFmtId="0" fontId="19" fillId="4" borderId="2" xfId="0" applyFont="1" applyFill="1" applyBorder="1"/>
    <xf numFmtId="0" fontId="19" fillId="4" borderId="6" xfId="0" applyFont="1" applyFill="1" applyBorder="1"/>
    <xf numFmtId="0" fontId="19" fillId="4" borderId="1" xfId="0" applyFont="1" applyFill="1" applyBorder="1"/>
    <xf numFmtId="165" fontId="19" fillId="0" borderId="0" xfId="0" applyNumberFormat="1" applyFont="1"/>
    <xf numFmtId="0" fontId="18" fillId="5" borderId="1" xfId="0" applyFont="1" applyFill="1" applyBorder="1"/>
    <xf numFmtId="0" fontId="19" fillId="4" borderId="0" xfId="0" applyFont="1" applyFill="1" applyBorder="1"/>
    <xf numFmtId="165" fontId="20" fillId="4" borderId="1" xfId="0" applyNumberFormat="1" applyFont="1" applyFill="1" applyBorder="1"/>
    <xf numFmtId="7" fontId="20" fillId="4" borderId="2" xfId="0" applyNumberFormat="1" applyFont="1" applyFill="1" applyBorder="1"/>
    <xf numFmtId="165" fontId="18" fillId="4" borderId="1" xfId="0" applyNumberFormat="1" applyFont="1" applyFill="1" applyBorder="1"/>
    <xf numFmtId="165" fontId="18" fillId="4" borderId="5" xfId="0" applyNumberFormat="1" applyFont="1" applyFill="1" applyBorder="1"/>
    <xf numFmtId="165" fontId="18" fillId="0" borderId="0" xfId="0" applyNumberFormat="1" applyFont="1"/>
    <xf numFmtId="165" fontId="18" fillId="4" borderId="0" xfId="0" applyNumberFormat="1" applyFont="1" applyFill="1" applyBorder="1"/>
    <xf numFmtId="165" fontId="18" fillId="4" borderId="7" xfId="0" applyNumberFormat="1" applyFont="1" applyFill="1" applyBorder="1"/>
    <xf numFmtId="0" fontId="19" fillId="0" borderId="1" xfId="0" applyFont="1" applyFill="1" applyBorder="1"/>
    <xf numFmtId="165" fontId="18" fillId="0" borderId="1" xfId="0" applyNumberFormat="1" applyFont="1" applyFill="1" applyBorder="1"/>
    <xf numFmtId="0" fontId="19" fillId="0" borderId="0" xfId="0" applyFont="1" applyFill="1" applyBorder="1"/>
    <xf numFmtId="0" fontId="19" fillId="5" borderId="1" xfId="0" applyFont="1" applyFill="1" applyBorder="1"/>
    <xf numFmtId="165" fontId="18" fillId="0" borderId="0" xfId="0" applyNumberFormat="1" applyFont="1" applyFill="1" applyBorder="1"/>
    <xf numFmtId="165" fontId="18" fillId="4" borderId="6" xfId="0" applyNumberFormat="1" applyFont="1" applyFill="1" applyBorder="1"/>
    <xf numFmtId="165" fontId="18" fillId="4" borderId="8" xfId="0" applyNumberFormat="1" applyFont="1" applyFill="1" applyBorder="1"/>
    <xf numFmtId="165" fontId="18" fillId="4" borderId="2" xfId="0" applyNumberFormat="1" applyFont="1" applyFill="1" applyBorder="1"/>
    <xf numFmtId="166" fontId="20" fillId="4" borderId="0" xfId="0" applyNumberFormat="1" applyFont="1" applyFill="1" applyBorder="1"/>
    <xf numFmtId="165" fontId="19" fillId="4" borderId="0" xfId="0" applyNumberFormat="1" applyFont="1" applyFill="1" applyBorder="1"/>
    <xf numFmtId="165" fontId="18" fillId="4" borderId="9" xfId="0" applyNumberFormat="1" applyFont="1" applyFill="1" applyBorder="1"/>
    <xf numFmtId="1" fontId="1" fillId="0" borderId="2" xfId="0" applyNumberFormat="1" applyFont="1" applyBorder="1"/>
    <xf numFmtId="0" fontId="1" fillId="0" borderId="0" xfId="0" applyFont="1"/>
    <xf numFmtId="4" fontId="3" fillId="0" borderId="0" xfId="0" applyNumberFormat="1" applyFont="1" applyBorder="1"/>
    <xf numFmtId="4" fontId="6" fillId="3" borderId="0" xfId="0" applyNumberFormat="1" applyFont="1" applyFill="1" applyBorder="1"/>
    <xf numFmtId="40" fontId="3" fillId="0" borderId="0" xfId="0" applyNumberFormat="1" applyFont="1" applyBorder="1" applyAlignment="1"/>
    <xf numFmtId="40" fontId="6" fillId="3" borderId="0" xfId="0" applyNumberFormat="1" applyFont="1" applyFill="1" applyBorder="1" applyAlignment="1"/>
    <xf numFmtId="0" fontId="19" fillId="7" borderId="1" xfId="0" applyFont="1" applyFill="1" applyBorder="1"/>
    <xf numFmtId="2" fontId="1" fillId="0" borderId="0" xfId="0" applyNumberFormat="1" applyFont="1"/>
    <xf numFmtId="165" fontId="6" fillId="8" borderId="0" xfId="0" applyNumberFormat="1" applyFont="1" applyFill="1"/>
    <xf numFmtId="0" fontId="1" fillId="0" borderId="0" xfId="0" quotePrefix="1" applyFont="1"/>
    <xf numFmtId="3" fontId="13" fillId="2" borderId="0" xfId="0" applyNumberFormat="1" applyFont="1" applyFill="1"/>
    <xf numFmtId="2" fontId="6" fillId="9" borderId="0" xfId="0" applyNumberFormat="1" applyFont="1" applyFill="1"/>
    <xf numFmtId="2" fontId="1" fillId="0" borderId="0" xfId="0" applyNumberFormat="1" applyFont="1" applyFill="1"/>
    <xf numFmtId="1" fontId="11" fillId="8" borderId="0" xfId="0" applyNumberFormat="1" applyFont="1" applyFill="1" applyBorder="1" applyAlignment="1">
      <alignment horizontal="center"/>
    </xf>
    <xf numFmtId="2" fontId="11" fillId="0" borderId="0" xfId="0" quotePrefix="1" applyNumberFormat="1" applyFont="1" applyFill="1" applyBorder="1" applyAlignment="1">
      <alignment horizontal="center"/>
    </xf>
    <xf numFmtId="0" fontId="19" fillId="10" borderId="1" xfId="0" applyFont="1" applyFill="1" applyBorder="1"/>
    <xf numFmtId="0" fontId="19" fillId="7" borderId="0" xfId="0" applyFont="1" applyFill="1" applyBorder="1"/>
    <xf numFmtId="1" fontId="18" fillId="11" borderId="10" xfId="0" applyNumberFormat="1" applyFont="1" applyFill="1" applyBorder="1" applyAlignment="1"/>
    <xf numFmtId="0" fontId="18" fillId="11" borderId="2" xfId="0" applyFont="1" applyFill="1" applyBorder="1" applyAlignment="1"/>
    <xf numFmtId="1" fontId="18" fillId="11" borderId="9" xfId="0" applyNumberFormat="1" applyFont="1" applyFill="1" applyBorder="1" applyAlignment="1"/>
    <xf numFmtId="0" fontId="18" fillId="0" borderId="0" xfId="0" applyFont="1"/>
    <xf numFmtId="165" fontId="0" fillId="0" borderId="0" xfId="0" applyNumberFormat="1"/>
    <xf numFmtId="4" fontId="6" fillId="9" borderId="0" xfId="0" applyNumberFormat="1" applyFont="1" applyFill="1"/>
    <xf numFmtId="4" fontId="6" fillId="9" borderId="0" xfId="0" applyNumberFormat="1" applyFont="1" applyFill="1" applyBorder="1"/>
    <xf numFmtId="0" fontId="1" fillId="0" borderId="2" xfId="0" applyFont="1" applyBorder="1"/>
    <xf numFmtId="10" fontId="6" fillId="0" borderId="2" xfId="0" applyNumberFormat="1" applyFont="1" applyBorder="1"/>
    <xf numFmtId="40" fontId="1" fillId="0" borderId="2" xfId="0" applyNumberFormat="1" applyFont="1" applyBorder="1" applyAlignment="1">
      <alignment horizontal="right"/>
    </xf>
    <xf numFmtId="40" fontId="1" fillId="0" borderId="2" xfId="0" applyNumberFormat="1" applyFont="1" applyBorder="1" applyAlignment="1"/>
    <xf numFmtId="0" fontId="3" fillId="0" borderId="0" xfId="0" applyFont="1" applyFill="1"/>
    <xf numFmtId="165" fontId="13" fillId="0" borderId="0" xfId="0" applyNumberFormat="1" applyFont="1" applyFill="1"/>
    <xf numFmtId="4" fontId="3" fillId="0" borderId="0" xfId="0" applyNumberFormat="1" applyFont="1" applyFill="1"/>
    <xf numFmtId="4" fontId="0" fillId="0" borderId="0" xfId="0" applyNumberFormat="1" applyFill="1"/>
    <xf numFmtId="4" fontId="6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165" fontId="3" fillId="0" borderId="0" xfId="0" applyNumberFormat="1" applyFont="1" applyFill="1"/>
    <xf numFmtId="0" fontId="1" fillId="0" borderId="0" xfId="0" applyFont="1" applyFill="1"/>
    <xf numFmtId="14" fontId="6" fillId="0" borderId="0" xfId="0" applyNumberFormat="1" applyFont="1" applyAlignment="1">
      <alignment horizontal="right"/>
    </xf>
    <xf numFmtId="2" fontId="6" fillId="0" borderId="0" xfId="0" applyNumberFormat="1" applyFont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139700</xdr:rowOff>
    </xdr:from>
    <xdr:to>
      <xdr:col>2</xdr:col>
      <xdr:colOff>514350</xdr:colOff>
      <xdr:row>4</xdr:row>
      <xdr:rowOff>76200</xdr:rowOff>
    </xdr:to>
    <xdr:pic>
      <xdr:nvPicPr>
        <xdr:cNvPr id="1324" name="Picture 2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39700"/>
          <a:ext cx="654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tabSelected="1" view="pageBreakPreview" zoomScaleNormal="100" zoomScaleSheetLayoutView="100" workbookViewId="0">
      <selection activeCell="D1" sqref="D1:M1"/>
    </sheetView>
  </sheetViews>
  <sheetFormatPr defaultRowHeight="12.5" x14ac:dyDescent="0.25"/>
  <cols>
    <col min="1" max="2" width="2.7265625" customWidth="1"/>
    <col min="6" max="6" width="9.26953125" bestFit="1" customWidth="1"/>
    <col min="7" max="8" width="9.453125" customWidth="1"/>
    <col min="9" max="9" width="7.54296875" customWidth="1"/>
    <col min="10" max="10" width="6.1796875" customWidth="1"/>
    <col min="11" max="11" width="7" style="19" customWidth="1"/>
    <col min="12" max="12" width="7.453125" style="19" customWidth="1"/>
    <col min="13" max="13" width="7" style="19" customWidth="1"/>
    <col min="14" max="14" width="8.81640625" customWidth="1"/>
    <col min="16" max="16" width="9.26953125" bestFit="1" customWidth="1"/>
  </cols>
  <sheetData>
    <row r="1" spans="1:19" ht="15.5" x14ac:dyDescent="0.35">
      <c r="A1" s="1"/>
      <c r="B1" s="1"/>
      <c r="C1" s="1"/>
      <c r="D1" s="195" t="s">
        <v>151</v>
      </c>
      <c r="E1" s="195"/>
      <c r="F1" s="195"/>
      <c r="G1" s="195"/>
      <c r="H1" s="195"/>
      <c r="I1" s="195"/>
      <c r="J1" s="195"/>
      <c r="K1" s="195"/>
      <c r="L1" s="195"/>
      <c r="M1" s="195"/>
      <c r="N1" s="3"/>
    </row>
    <row r="2" spans="1:19" ht="15.5" x14ac:dyDescent="0.35">
      <c r="A2" s="1"/>
      <c r="B2" s="1"/>
      <c r="C2" s="1"/>
      <c r="D2" s="195" t="s">
        <v>0</v>
      </c>
      <c r="E2" s="195"/>
      <c r="F2" s="195"/>
      <c r="G2" s="195"/>
      <c r="H2" s="195"/>
      <c r="I2" s="195"/>
      <c r="J2" s="195"/>
      <c r="K2" s="195"/>
      <c r="L2" s="195"/>
      <c r="M2" s="195"/>
      <c r="N2" s="1"/>
    </row>
    <row r="3" spans="1:19" ht="15.5" x14ac:dyDescent="0.35">
      <c r="A3" s="1"/>
      <c r="B3" s="1"/>
      <c r="C3" s="1"/>
      <c r="D3" s="50"/>
      <c r="E3" s="196" t="s">
        <v>148</v>
      </c>
      <c r="F3" s="197"/>
      <c r="G3" s="197"/>
      <c r="H3" s="197"/>
      <c r="I3" s="197"/>
      <c r="J3" s="197"/>
      <c r="K3" s="197"/>
      <c r="L3" s="50"/>
      <c r="M3" s="50"/>
      <c r="N3" s="1"/>
    </row>
    <row r="4" spans="1:19" ht="15.5" x14ac:dyDescent="0.35">
      <c r="A4" s="1"/>
      <c r="B4" s="1"/>
      <c r="C4" s="1"/>
      <c r="D4" s="1"/>
      <c r="E4" s="97"/>
      <c r="F4" s="21"/>
      <c r="G4" s="195"/>
      <c r="H4" s="195"/>
      <c r="I4" s="21"/>
      <c r="J4" s="21"/>
      <c r="K4" s="193" t="s">
        <v>89</v>
      </c>
      <c r="L4" s="194"/>
      <c r="M4" s="192">
        <v>41409</v>
      </c>
      <c r="N4" s="192"/>
    </row>
    <row r="5" spans="1:19" ht="15.5" x14ac:dyDescent="0.35">
      <c r="A5" s="1"/>
      <c r="B5" s="1"/>
      <c r="C5" s="1"/>
      <c r="D5" s="1"/>
      <c r="F5" s="97"/>
      <c r="G5" s="1"/>
      <c r="H5" s="1"/>
      <c r="I5" s="21"/>
      <c r="J5" s="4"/>
      <c r="K5" s="2"/>
      <c r="L5" s="2"/>
      <c r="M5" s="2"/>
      <c r="N5" s="1"/>
    </row>
    <row r="6" spans="1:19" ht="13" x14ac:dyDescent="0.3">
      <c r="A6" s="5"/>
      <c r="B6" s="5" t="s">
        <v>1</v>
      </c>
      <c r="C6" s="5"/>
      <c r="D6" s="5"/>
      <c r="E6" s="199" t="s">
        <v>2</v>
      </c>
      <c r="F6" s="199"/>
      <c r="G6" s="199"/>
      <c r="H6" s="6" t="s">
        <v>73</v>
      </c>
      <c r="I6" s="199" t="s">
        <v>3</v>
      </c>
      <c r="J6" s="199"/>
      <c r="K6" s="201" t="s">
        <v>4</v>
      </c>
      <c r="L6" s="201"/>
      <c r="M6" s="201"/>
      <c r="N6" s="6" t="s">
        <v>5</v>
      </c>
    </row>
    <row r="7" spans="1:19" ht="13" x14ac:dyDescent="0.3">
      <c r="A7" s="7"/>
      <c r="B7" s="7"/>
      <c r="C7" s="7"/>
      <c r="D7" s="7"/>
      <c r="E7" s="7"/>
      <c r="F7" s="7"/>
      <c r="G7" s="7"/>
      <c r="H7" s="8" t="s">
        <v>72</v>
      </c>
      <c r="I7" s="200" t="s">
        <v>6</v>
      </c>
      <c r="J7" s="200"/>
      <c r="K7" s="9"/>
      <c r="L7" s="9"/>
      <c r="M7" s="9"/>
      <c r="N7" s="8" t="s">
        <v>7</v>
      </c>
    </row>
    <row r="8" spans="1:19" ht="13" x14ac:dyDescent="0.3">
      <c r="A8" s="10"/>
      <c r="B8" s="10"/>
      <c r="C8" s="10"/>
      <c r="D8" s="10"/>
      <c r="E8" s="10"/>
      <c r="F8" s="10"/>
      <c r="G8" s="10"/>
      <c r="H8" s="51" t="s">
        <v>74</v>
      </c>
      <c r="I8" s="10"/>
      <c r="J8" s="10"/>
      <c r="K8" s="155">
        <v>37.299999999999997</v>
      </c>
      <c r="L8" s="155">
        <v>46.6</v>
      </c>
      <c r="M8" s="155">
        <v>55.9</v>
      </c>
      <c r="N8" s="53">
        <v>60</v>
      </c>
    </row>
    <row r="9" spans="1:19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  <c r="N9" s="11"/>
    </row>
    <row r="10" spans="1:19" ht="13" x14ac:dyDescent="0.3">
      <c r="A10" s="13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1"/>
      <c r="S10" s="52"/>
    </row>
    <row r="11" spans="1:19" ht="15" x14ac:dyDescent="0.3">
      <c r="A11" s="1"/>
      <c r="B11" s="1"/>
      <c r="C11" s="1" t="s">
        <v>43</v>
      </c>
      <c r="D11" s="1"/>
      <c r="E11" s="1"/>
      <c r="F11" s="1"/>
      <c r="G11" s="1"/>
      <c r="H11" s="1"/>
      <c r="I11" s="61">
        <v>11.8</v>
      </c>
      <c r="J11" s="1" t="s">
        <v>9</v>
      </c>
      <c r="K11" s="90">
        <f>+$I$11*K8</f>
        <v>440.14</v>
      </c>
      <c r="L11" s="90">
        <f>+$I$11*L8</f>
        <v>549.88</v>
      </c>
      <c r="M11" s="90">
        <f>+$I$11*M8</f>
        <v>659.62</v>
      </c>
      <c r="N11" s="91">
        <f>+$I$11*N8</f>
        <v>708</v>
      </c>
    </row>
    <row r="12" spans="1:19" ht="13" x14ac:dyDescent="0.3">
      <c r="A12" s="1"/>
      <c r="B12" s="183"/>
      <c r="C12" s="191" t="s">
        <v>152</v>
      </c>
      <c r="D12" s="183"/>
      <c r="E12" s="183"/>
      <c r="F12" s="184"/>
      <c r="G12" s="183"/>
      <c r="H12" s="183"/>
      <c r="I12" s="184"/>
      <c r="J12" s="183"/>
      <c r="K12" s="185">
        <v>0</v>
      </c>
      <c r="L12" s="185">
        <v>0</v>
      </c>
      <c r="M12" s="185">
        <v>0</v>
      </c>
      <c r="N12" s="103">
        <v>0</v>
      </c>
    </row>
    <row r="13" spans="1:19" ht="13" x14ac:dyDescent="0.3">
      <c r="A13" s="1"/>
      <c r="B13" s="183"/>
      <c r="C13" s="183"/>
      <c r="D13" s="183"/>
      <c r="E13" s="189"/>
      <c r="F13" s="189"/>
      <c r="G13" s="189"/>
      <c r="H13" s="189"/>
      <c r="I13" s="190"/>
      <c r="J13" s="188"/>
      <c r="K13" s="186"/>
      <c r="L13" s="185"/>
      <c r="M13" s="185"/>
      <c r="N13" s="187"/>
    </row>
    <row r="14" spans="1:19" ht="13" x14ac:dyDescent="0.3">
      <c r="A14" s="13" t="s">
        <v>44</v>
      </c>
      <c r="B14" s="1"/>
      <c r="C14" s="1"/>
      <c r="D14" s="1"/>
      <c r="E14" s="1"/>
      <c r="F14" s="1"/>
      <c r="G14" s="1"/>
      <c r="H14" s="1"/>
      <c r="I14" s="1"/>
      <c r="J14" s="1"/>
      <c r="K14" s="90">
        <f>SUM(K11:K12)</f>
        <v>440.14</v>
      </c>
      <c r="L14" s="90">
        <f>SUM(L11:L12)</f>
        <v>549.88</v>
      </c>
      <c r="M14" s="90">
        <f>SUM(M11:M12)</f>
        <v>659.62</v>
      </c>
      <c r="N14" s="91">
        <f>SUM(N11:N12)</f>
        <v>708</v>
      </c>
    </row>
    <row r="15" spans="1:19" ht="13" x14ac:dyDescent="0.3">
      <c r="A15" s="13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2"/>
      <c r="N15" s="49"/>
    </row>
    <row r="16" spans="1:19" ht="15" x14ac:dyDescent="0.3">
      <c r="A16" s="1"/>
      <c r="B16" s="1" t="s">
        <v>48</v>
      </c>
      <c r="C16" s="1"/>
      <c r="D16" s="1"/>
      <c r="E16" s="1"/>
      <c r="F16" s="1">
        <v>180000</v>
      </c>
      <c r="G16" s="1" t="s">
        <v>50</v>
      </c>
      <c r="H16" s="62">
        <f>F16</f>
        <v>180000</v>
      </c>
      <c r="I16" s="98">
        <v>0.41</v>
      </c>
      <c r="J16" s="3" t="s">
        <v>87</v>
      </c>
      <c r="K16" s="2">
        <f>$F$16/1000*$I$16</f>
        <v>73.8</v>
      </c>
      <c r="L16" s="2">
        <f>$F$16/1000*$I$16</f>
        <v>73.8</v>
      </c>
      <c r="M16" s="2">
        <f>$F$16/1000*$I$16</f>
        <v>73.8</v>
      </c>
      <c r="N16" s="57">
        <f>$F$16/1000*$I$16</f>
        <v>73.8</v>
      </c>
    </row>
    <row r="17" spans="1:14" ht="15" x14ac:dyDescent="0.3">
      <c r="A17" s="1"/>
      <c r="B17" s="1" t="s">
        <v>49</v>
      </c>
      <c r="C17" s="1"/>
      <c r="D17" s="1"/>
      <c r="E17" s="1"/>
      <c r="F17" s="1"/>
      <c r="G17" s="1" t="s">
        <v>88</v>
      </c>
      <c r="H17" s="64"/>
      <c r="I17" s="64"/>
      <c r="J17" s="3" t="s">
        <v>50</v>
      </c>
      <c r="K17" s="2"/>
      <c r="L17" s="2"/>
      <c r="M17" s="2"/>
      <c r="N17" s="49"/>
    </row>
    <row r="18" spans="1:14" ht="13" x14ac:dyDescent="0.3">
      <c r="A18" s="1"/>
      <c r="B18" s="1"/>
      <c r="C18" s="1" t="s">
        <v>11</v>
      </c>
      <c r="D18" s="1"/>
      <c r="E18" s="1">
        <f>K8*0.8</f>
        <v>29.84</v>
      </c>
      <c r="F18" s="1">
        <f>L8*0.8</f>
        <v>37.28</v>
      </c>
      <c r="G18" s="1">
        <f>M8*0.8</f>
        <v>44.72</v>
      </c>
      <c r="H18" s="62">
        <f>N8*0.8</f>
        <v>48</v>
      </c>
      <c r="I18" s="62">
        <f>F62/1040</f>
        <v>0.625</v>
      </c>
      <c r="J18" s="1" t="s">
        <v>12</v>
      </c>
      <c r="K18" s="2">
        <f>+$I$18*E18</f>
        <v>18.649999999999999</v>
      </c>
      <c r="L18" s="2">
        <f>+$I$18*F18</f>
        <v>23.3</v>
      </c>
      <c r="M18" s="2">
        <f>+$I$18*G18</f>
        <v>27.95</v>
      </c>
      <c r="N18" s="57">
        <f>+$I$18*H18</f>
        <v>30</v>
      </c>
    </row>
    <row r="19" spans="1:14" ht="13" x14ac:dyDescent="0.3">
      <c r="A19" s="1"/>
      <c r="B19" s="1"/>
      <c r="C19" s="1" t="s">
        <v>13</v>
      </c>
      <c r="D19" s="1"/>
      <c r="E19" s="1">
        <f>(K8*1.4)</f>
        <v>52.219999999999992</v>
      </c>
      <c r="F19" s="1">
        <f>(L8*1.4)</f>
        <v>65.239999999999995</v>
      </c>
      <c r="G19" s="1">
        <f>(M8*1.4)</f>
        <v>78.259999999999991</v>
      </c>
      <c r="H19" s="62">
        <f>(N8*1.4)</f>
        <v>84</v>
      </c>
      <c r="I19" s="62">
        <f>J62/1200</f>
        <v>0.47916666666666669</v>
      </c>
      <c r="J19" s="1" t="s">
        <v>12</v>
      </c>
      <c r="K19" s="2">
        <f>+$I$19*E19</f>
        <v>25.022083333333331</v>
      </c>
      <c r="L19" s="2">
        <f>+$I$19*F19</f>
        <v>31.260833333333331</v>
      </c>
      <c r="M19" s="2">
        <f>+$I$19*G19</f>
        <v>37.499583333333334</v>
      </c>
      <c r="N19" s="57">
        <f>+$I$19*H19</f>
        <v>40.25</v>
      </c>
    </row>
    <row r="20" spans="1:14" ht="13" x14ac:dyDescent="0.3">
      <c r="A20" s="1"/>
      <c r="B20" s="1"/>
      <c r="C20" s="1" t="s">
        <v>14</v>
      </c>
      <c r="D20" s="1"/>
      <c r="E20" s="1"/>
      <c r="F20" s="1">
        <v>0.25</v>
      </c>
      <c r="G20" s="1"/>
      <c r="H20" s="62">
        <v>0.25</v>
      </c>
      <c r="I20" s="62">
        <v>25</v>
      </c>
      <c r="J20" s="1" t="s">
        <v>15</v>
      </c>
      <c r="K20" s="2">
        <f>+$F20*$I20</f>
        <v>6.25</v>
      </c>
      <c r="L20" s="2">
        <f>+$F20*$I20</f>
        <v>6.25</v>
      </c>
      <c r="M20" s="2">
        <f>+$F20*$I20</f>
        <v>6.25</v>
      </c>
      <c r="N20" s="57">
        <f>+$F20*$I20</f>
        <v>6.25</v>
      </c>
    </row>
    <row r="21" spans="1:14" ht="15" x14ac:dyDescent="0.3">
      <c r="A21" s="1"/>
      <c r="B21" s="1" t="s">
        <v>51</v>
      </c>
      <c r="C21" s="1"/>
      <c r="D21" s="1" t="s">
        <v>45</v>
      </c>
      <c r="E21" s="1"/>
      <c r="F21" s="1"/>
      <c r="G21" s="1"/>
      <c r="H21" s="1"/>
      <c r="I21" s="1"/>
      <c r="J21" s="1"/>
      <c r="K21" s="2">
        <v>31.4</v>
      </c>
      <c r="L21" s="2">
        <v>31.4</v>
      </c>
      <c r="M21" s="2">
        <v>31.4</v>
      </c>
      <c r="N21" s="58">
        <v>31.4</v>
      </c>
    </row>
    <row r="22" spans="1:14" ht="13" x14ac:dyDescent="0.3">
      <c r="A22" s="1"/>
      <c r="B22" s="1"/>
      <c r="C22" s="1"/>
      <c r="D22" s="1" t="s">
        <v>46</v>
      </c>
      <c r="E22" s="1"/>
      <c r="F22" s="1"/>
      <c r="G22" s="1"/>
      <c r="H22" s="1"/>
      <c r="I22" s="1"/>
      <c r="J22" s="1"/>
      <c r="K22" s="2">
        <v>0</v>
      </c>
      <c r="L22" s="2">
        <v>0</v>
      </c>
      <c r="M22" s="2">
        <v>0</v>
      </c>
      <c r="N22" s="58">
        <v>0</v>
      </c>
    </row>
    <row r="23" spans="1:14" ht="13" x14ac:dyDescent="0.3">
      <c r="A23" s="1"/>
      <c r="B23" s="1"/>
      <c r="C23" s="1"/>
      <c r="D23" s="1" t="s">
        <v>47</v>
      </c>
      <c r="E23" s="1"/>
      <c r="F23" s="1"/>
      <c r="G23" s="1"/>
      <c r="H23" s="1"/>
      <c r="I23" s="1"/>
      <c r="J23" s="1"/>
      <c r="K23" s="2">
        <v>0</v>
      </c>
      <c r="L23" s="2">
        <v>0</v>
      </c>
      <c r="M23" s="2">
        <v>0</v>
      </c>
      <c r="N23" s="58">
        <v>0</v>
      </c>
    </row>
    <row r="24" spans="1:14" ht="13" x14ac:dyDescent="0.3">
      <c r="A24" s="1"/>
      <c r="B24" s="1" t="s">
        <v>16</v>
      </c>
      <c r="C24" s="1"/>
      <c r="D24" s="1"/>
      <c r="E24" s="14"/>
      <c r="F24" s="163">
        <v>4</v>
      </c>
      <c r="G24" s="164" t="s">
        <v>127</v>
      </c>
      <c r="H24" s="156"/>
      <c r="I24" s="165">
        <v>30</v>
      </c>
      <c r="J24" s="156" t="s">
        <v>128</v>
      </c>
      <c r="K24" s="162">
        <f>(((($I$24/6)*$F$24)/900)*K8)+(((($I$24/6)*$F$24)/900)*K8)*0.1</f>
        <v>0.9117777777777778</v>
      </c>
      <c r="L24" s="162">
        <f>(((($I$24/6)*$F$24)/900)*L8)+(((($I$24/6)*$F$24)/900)*L8)*0.1</f>
        <v>1.1391111111111112</v>
      </c>
      <c r="M24" s="162">
        <f>(((($I$24/6)*$F$24)/900)*M8)+(((($I$24/6)*$F$24)/900)*M8)*0.1</f>
        <v>1.3664444444444446</v>
      </c>
      <c r="N24" s="166">
        <f>(((($I$24/6)*$F$24)/900)*N8)+(((($I$24/6)*$F$24)/900)*N8)*0.1</f>
        <v>1.4666666666666668</v>
      </c>
    </row>
    <row r="25" spans="1:14" ht="15" x14ac:dyDescent="0.3">
      <c r="A25" s="1"/>
      <c r="B25" s="1" t="s">
        <v>52</v>
      </c>
      <c r="C25" s="1"/>
      <c r="D25" s="1"/>
      <c r="E25" s="1"/>
      <c r="F25" s="1"/>
      <c r="G25" s="1"/>
      <c r="H25" s="1"/>
      <c r="I25" s="1"/>
      <c r="J25" s="1"/>
      <c r="K25" s="2">
        <f>+$K$93</f>
        <v>12.267053045186643</v>
      </c>
      <c r="L25" s="2">
        <f>+$K$93</f>
        <v>12.267053045186643</v>
      </c>
      <c r="M25" s="2">
        <f>+$K$93</f>
        <v>12.267053045186643</v>
      </c>
      <c r="N25" s="57">
        <f>+$K$93</f>
        <v>12.267053045186643</v>
      </c>
    </row>
    <row r="26" spans="1:14" ht="15" x14ac:dyDescent="0.3">
      <c r="A26" s="1"/>
      <c r="B26" s="1" t="s">
        <v>53</v>
      </c>
      <c r="C26" s="1"/>
      <c r="D26" s="1"/>
      <c r="E26" s="1"/>
      <c r="F26" s="1"/>
      <c r="G26" s="1"/>
      <c r="H26" s="1"/>
      <c r="I26" s="1"/>
      <c r="J26" s="1"/>
      <c r="K26" s="167">
        <f>+$M$93</f>
        <v>14.474887515229996</v>
      </c>
      <c r="L26" s="167">
        <f>+$M$93</f>
        <v>14.474887515229996</v>
      </c>
      <c r="M26" s="167">
        <f>+$M$93</f>
        <v>14.474887515229996</v>
      </c>
      <c r="N26" s="57">
        <f>+$M$93</f>
        <v>14.474887515229996</v>
      </c>
    </row>
    <row r="27" spans="1:14" ht="15" x14ac:dyDescent="0.3">
      <c r="A27" s="1"/>
      <c r="B27" s="1" t="s">
        <v>54</v>
      </c>
      <c r="C27" s="1"/>
      <c r="D27" s="1"/>
      <c r="E27" s="1"/>
      <c r="F27" s="1"/>
      <c r="G27" s="1"/>
      <c r="H27" s="1"/>
      <c r="I27" s="1"/>
      <c r="J27" s="1"/>
      <c r="K27" s="2">
        <v>24</v>
      </c>
      <c r="L27" s="2">
        <v>24</v>
      </c>
      <c r="M27" s="2">
        <v>24</v>
      </c>
      <c r="N27" s="58">
        <v>24</v>
      </c>
    </row>
    <row r="28" spans="1:14" ht="15" x14ac:dyDescent="0.3">
      <c r="A28" s="1"/>
      <c r="B28" s="1" t="s">
        <v>55</v>
      </c>
      <c r="C28" s="1"/>
      <c r="D28" s="1"/>
      <c r="E28" s="1"/>
      <c r="F28" s="1"/>
      <c r="G28" s="1"/>
      <c r="H28" s="1"/>
      <c r="I28" s="1"/>
      <c r="J28" s="1"/>
      <c r="K28" s="2">
        <v>10</v>
      </c>
      <c r="L28" s="2">
        <v>10</v>
      </c>
      <c r="M28" s="2">
        <v>10</v>
      </c>
      <c r="N28" s="58">
        <v>10</v>
      </c>
    </row>
    <row r="29" spans="1:14" ht="15" x14ac:dyDescent="0.3">
      <c r="A29" s="1"/>
      <c r="B29" s="1" t="s">
        <v>56</v>
      </c>
      <c r="C29" s="1"/>
      <c r="D29" s="1"/>
      <c r="E29" s="1"/>
      <c r="F29" s="65">
        <v>6</v>
      </c>
      <c r="G29" s="1" t="s">
        <v>17</v>
      </c>
      <c r="H29" s="1"/>
      <c r="I29" s="66">
        <v>0.04</v>
      </c>
      <c r="J29" s="1"/>
      <c r="K29" s="2">
        <f>(SUM(K16:K28)-K24)*$I$29*($F$29/12)</f>
        <v>4.3172804778749985</v>
      </c>
      <c r="L29" s="2">
        <f>(SUM(L16:L28)-L24)*$I$29*($F$29/12)</f>
        <v>4.535055477874999</v>
      </c>
      <c r="M29" s="2">
        <f>(SUM(M16:M28)-M24)*$I$29*($F$29/12)</f>
        <v>4.7528304778750003</v>
      </c>
      <c r="N29" s="57">
        <f>(SUM(N16:N28)-N24)*$I$29*($F$29/12)</f>
        <v>4.8488388112083332</v>
      </c>
    </row>
    <row r="30" spans="1:14" ht="15" x14ac:dyDescent="0.3">
      <c r="A30" s="1"/>
      <c r="B30" s="1" t="s">
        <v>57</v>
      </c>
      <c r="C30" s="1"/>
      <c r="D30" s="1"/>
      <c r="E30" s="1"/>
      <c r="F30" s="1"/>
      <c r="G30" s="1"/>
      <c r="H30" s="1"/>
      <c r="I30" s="1"/>
      <c r="J30" s="1"/>
      <c r="K30" s="2">
        <v>0</v>
      </c>
      <c r="L30" s="2">
        <v>0</v>
      </c>
      <c r="M30" s="2">
        <v>0</v>
      </c>
      <c r="N30" s="58">
        <v>0</v>
      </c>
    </row>
    <row r="31" spans="1:14" ht="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59"/>
    </row>
    <row r="32" spans="1:14" ht="13" x14ac:dyDescent="0.3">
      <c r="A32" s="13" t="s">
        <v>18</v>
      </c>
      <c r="B32" s="1"/>
      <c r="C32" s="1"/>
      <c r="D32" s="1"/>
      <c r="E32" s="1"/>
      <c r="F32" s="18" t="s">
        <v>25</v>
      </c>
      <c r="G32" s="1"/>
      <c r="H32" s="1"/>
      <c r="I32" s="1"/>
      <c r="J32" s="1"/>
      <c r="K32" s="2">
        <f>SUM(K16:K31)</f>
        <v>221.0930821494027</v>
      </c>
      <c r="L32" s="2">
        <f>SUM(L16:L31)</f>
        <v>232.42694048273606</v>
      </c>
      <c r="M32" s="2">
        <f>SUM(M16:M31)</f>
        <v>243.76079881606944</v>
      </c>
      <c r="N32" s="57">
        <f>SUM(N16:N31)</f>
        <v>248.75744603829165</v>
      </c>
    </row>
    <row r="33" spans="1:14" ht="13" x14ac:dyDescent="0.3">
      <c r="A33" s="1"/>
      <c r="B33" s="1"/>
      <c r="C33" s="1"/>
      <c r="D33" s="1"/>
      <c r="E33" s="1"/>
      <c r="F33" s="18" t="s">
        <v>26</v>
      </c>
      <c r="G33" s="1"/>
      <c r="H33" s="1"/>
      <c r="I33" s="1"/>
      <c r="J33" s="1"/>
      <c r="K33" s="17">
        <f>+K32/K8</f>
        <v>5.9274284758553009</v>
      </c>
      <c r="L33" s="17">
        <f>+L32/L8</f>
        <v>4.9877025854664385</v>
      </c>
      <c r="M33" s="17">
        <f>+M32/M8</f>
        <v>4.3606582972463226</v>
      </c>
      <c r="N33" s="60">
        <f>+N32/N8</f>
        <v>4.1459574339715273</v>
      </c>
    </row>
    <row r="34" spans="1:14" ht="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6"/>
      <c r="L34" s="16"/>
      <c r="M34" s="16"/>
      <c r="N34" s="13"/>
    </row>
    <row r="35" spans="1:14" ht="13" x14ac:dyDescent="0.3">
      <c r="A35" s="1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6"/>
      <c r="L35" s="16"/>
      <c r="M35" s="16"/>
      <c r="N35" s="13"/>
    </row>
    <row r="36" spans="1:14" ht="15" x14ac:dyDescent="0.3">
      <c r="A36" s="1"/>
      <c r="B36" s="1" t="s">
        <v>58</v>
      </c>
      <c r="C36" s="1"/>
      <c r="D36" s="1"/>
      <c r="E36" s="1"/>
      <c r="F36" s="62">
        <v>2</v>
      </c>
      <c r="G36" s="1" t="s">
        <v>20</v>
      </c>
      <c r="H36" s="1"/>
      <c r="I36" s="63">
        <v>15</v>
      </c>
      <c r="J36" s="1" t="s">
        <v>21</v>
      </c>
      <c r="K36" s="90">
        <f>+$F$36*$I$36</f>
        <v>30</v>
      </c>
      <c r="L36" s="90">
        <f>+$F$36*$I$36</f>
        <v>30</v>
      </c>
      <c r="M36" s="90">
        <f>+$F$36*$I$36</f>
        <v>30</v>
      </c>
      <c r="N36" s="91">
        <f>+$F$36*$I$36</f>
        <v>30</v>
      </c>
    </row>
    <row r="37" spans="1:14" ht="13" x14ac:dyDescent="0.3">
      <c r="A37" s="1"/>
      <c r="B37" s="1" t="s">
        <v>22</v>
      </c>
      <c r="C37" s="1"/>
      <c r="D37" s="1"/>
      <c r="E37" s="1"/>
      <c r="F37" s="67">
        <v>0.05</v>
      </c>
      <c r="G37" s="1" t="s">
        <v>75</v>
      </c>
      <c r="H37" s="1"/>
      <c r="I37" s="1"/>
      <c r="J37" s="1"/>
      <c r="K37" s="157">
        <f>$F$37*K14</f>
        <v>22.007000000000001</v>
      </c>
      <c r="L37" s="157">
        <f>$F$37*L14</f>
        <v>27.494</v>
      </c>
      <c r="M37" s="157">
        <f>$F$37*M14</f>
        <v>32.981000000000002</v>
      </c>
      <c r="N37" s="158">
        <f>$F$37*N14</f>
        <v>35.4</v>
      </c>
    </row>
    <row r="38" spans="1:14" ht="15" x14ac:dyDescent="0.3">
      <c r="A38" s="1"/>
      <c r="B38" s="1" t="s">
        <v>59</v>
      </c>
      <c r="C38" s="1"/>
      <c r="D38" s="1"/>
      <c r="E38" s="1"/>
      <c r="F38" s="1"/>
      <c r="G38" s="1"/>
      <c r="H38" s="1"/>
      <c r="I38" s="1"/>
      <c r="J38" s="1"/>
      <c r="K38" s="90">
        <f>$I$93</f>
        <v>85.09805468750001</v>
      </c>
      <c r="L38" s="90">
        <f>$I$93</f>
        <v>85.09805468750001</v>
      </c>
      <c r="M38" s="90">
        <f>$I$93</f>
        <v>85.09805468750001</v>
      </c>
      <c r="N38" s="91">
        <f>$I$93</f>
        <v>85.09805468750001</v>
      </c>
    </row>
    <row r="39" spans="1:14" ht="15" x14ac:dyDescent="0.3">
      <c r="A39" s="1"/>
      <c r="B39" s="1" t="s">
        <v>86</v>
      </c>
      <c r="C39" s="1"/>
      <c r="D39" s="1"/>
      <c r="E39" s="1"/>
      <c r="F39" s="1"/>
      <c r="G39" s="1"/>
      <c r="H39" s="1"/>
      <c r="I39" s="1"/>
      <c r="J39" s="1"/>
      <c r="K39" s="90">
        <v>150</v>
      </c>
      <c r="L39" s="90">
        <v>195</v>
      </c>
      <c r="M39" s="90">
        <v>250</v>
      </c>
      <c r="N39" s="93">
        <v>250</v>
      </c>
    </row>
    <row r="40" spans="1:14" x14ac:dyDescent="0.25">
      <c r="A40" s="1"/>
    </row>
    <row r="41" spans="1:14" ht="1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94"/>
      <c r="L41" s="94"/>
      <c r="M41" s="94"/>
      <c r="N41" s="95"/>
    </row>
    <row r="42" spans="1:14" ht="13" x14ac:dyDescent="0.3">
      <c r="A42" s="13" t="s">
        <v>23</v>
      </c>
      <c r="B42" s="1"/>
      <c r="C42" s="1"/>
      <c r="D42" s="1"/>
      <c r="E42" s="1"/>
      <c r="F42" s="1"/>
      <c r="G42" s="1"/>
      <c r="H42" s="1"/>
      <c r="I42" s="1"/>
      <c r="J42" s="1"/>
      <c r="K42" s="90">
        <f>SUM(K36:K41)</f>
        <v>287.1050546875</v>
      </c>
      <c r="L42" s="90">
        <f>SUM(L36:L41)</f>
        <v>337.59205468750002</v>
      </c>
      <c r="M42" s="90">
        <f>SUM(M36:M41)</f>
        <v>398.07905468750005</v>
      </c>
      <c r="N42" s="91">
        <f>SUM(N36:N41)</f>
        <v>400.49805468750003</v>
      </c>
    </row>
    <row r="43" spans="1:14" ht="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90"/>
      <c r="L43" s="90"/>
      <c r="M43" s="90"/>
      <c r="N43" s="96"/>
    </row>
    <row r="44" spans="1:14" ht="13" x14ac:dyDescent="0.3">
      <c r="A44" s="13" t="s">
        <v>24</v>
      </c>
      <c r="B44" s="1"/>
      <c r="C44" s="1"/>
      <c r="D44" s="1"/>
      <c r="E44" s="1"/>
      <c r="F44" s="18" t="s">
        <v>25</v>
      </c>
      <c r="G44" s="1"/>
      <c r="H44" s="1"/>
      <c r="I44" s="1"/>
      <c r="J44" s="1"/>
      <c r="K44" s="90">
        <f>+K32+K42</f>
        <v>508.19813683690268</v>
      </c>
      <c r="L44" s="90">
        <f>+L32+L42</f>
        <v>570.01899517023605</v>
      </c>
      <c r="M44" s="90">
        <f>+M32+M42</f>
        <v>641.83985350356943</v>
      </c>
      <c r="N44" s="91">
        <f>+N32+N42</f>
        <v>649.25550072579165</v>
      </c>
    </row>
    <row r="45" spans="1:14" ht="13" x14ac:dyDescent="0.3">
      <c r="A45" s="13"/>
      <c r="B45" s="1"/>
      <c r="C45" s="1"/>
      <c r="D45" s="1"/>
      <c r="E45" s="1"/>
      <c r="F45" s="18" t="s">
        <v>26</v>
      </c>
      <c r="G45" s="1"/>
      <c r="H45" s="1"/>
      <c r="I45" s="1"/>
      <c r="J45" s="1"/>
      <c r="K45" s="90">
        <f>+K44/K8</f>
        <v>13.62461492860329</v>
      </c>
      <c r="L45" s="90">
        <f>+L44/L8</f>
        <v>12.232167278331245</v>
      </c>
      <c r="M45" s="90">
        <f>+M44/M8</f>
        <v>11.481929400779418</v>
      </c>
      <c r="N45" s="91">
        <f>+N44/N8</f>
        <v>10.820925012096527</v>
      </c>
    </row>
    <row r="46" spans="1:14" ht="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90"/>
      <c r="L46" s="90"/>
      <c r="M46" s="90"/>
      <c r="N46" s="96"/>
    </row>
    <row r="47" spans="1:14" ht="15" x14ac:dyDescent="0.3">
      <c r="A47" s="13" t="s">
        <v>85</v>
      </c>
      <c r="B47" s="1"/>
      <c r="C47" s="1"/>
      <c r="D47" s="1"/>
      <c r="E47" s="1"/>
      <c r="F47" s="1"/>
      <c r="G47" s="1"/>
      <c r="H47" s="1"/>
      <c r="I47" s="1"/>
      <c r="J47" s="1"/>
      <c r="K47" s="90">
        <f>+K50+K37+K36</f>
        <v>-16.051136836902685</v>
      </c>
      <c r="L47" s="90">
        <f>+L50+L37+L36</f>
        <v>37.355004829763942</v>
      </c>
      <c r="M47" s="90">
        <f>+M50+M37+M36</f>
        <v>80.76114649643057</v>
      </c>
      <c r="N47" s="91">
        <f>+N50+N37+N36</f>
        <v>124.14449927420836</v>
      </c>
    </row>
    <row r="48" spans="1:14" ht="13" x14ac:dyDescent="0.3">
      <c r="A48" s="7" t="s">
        <v>91</v>
      </c>
      <c r="B48" s="11"/>
      <c r="C48" s="11"/>
      <c r="D48" s="11"/>
      <c r="E48" s="11"/>
      <c r="F48" s="11"/>
      <c r="G48" s="11"/>
      <c r="H48" s="11"/>
      <c r="I48" s="11"/>
      <c r="J48" s="11"/>
      <c r="K48" s="159">
        <f>K50+K39</f>
        <v>81.94186316309731</v>
      </c>
      <c r="L48" s="159">
        <f>L50+L39</f>
        <v>174.86100482976394</v>
      </c>
      <c r="M48" s="159">
        <f>M50+M39</f>
        <v>267.78014649643058</v>
      </c>
      <c r="N48" s="160">
        <f>N50+N39</f>
        <v>308.74449927420835</v>
      </c>
    </row>
    <row r="49" spans="1:16" ht="13" x14ac:dyDescent="0.3">
      <c r="A49" s="13" t="s">
        <v>27</v>
      </c>
      <c r="B49" s="1"/>
      <c r="C49" s="1"/>
      <c r="D49" s="1"/>
      <c r="E49" s="1"/>
      <c r="F49" s="1"/>
      <c r="G49" s="1"/>
      <c r="H49" s="1"/>
      <c r="I49" s="1"/>
      <c r="J49" s="1"/>
      <c r="K49" s="90">
        <f>+K14-K32</f>
        <v>219.04691785059728</v>
      </c>
      <c r="L49" s="90">
        <f>+L14-L32</f>
        <v>317.45305951726391</v>
      </c>
      <c r="M49" s="90">
        <f>+M14-M32</f>
        <v>415.85920118393057</v>
      </c>
      <c r="N49" s="177">
        <f>+N14-N32</f>
        <v>459.24255396170838</v>
      </c>
    </row>
    <row r="50" spans="1:16" ht="13" x14ac:dyDescent="0.3">
      <c r="A50" s="7" t="s">
        <v>28</v>
      </c>
      <c r="B50" s="11"/>
      <c r="C50" s="11"/>
      <c r="D50" s="11"/>
      <c r="E50" s="11"/>
      <c r="F50" s="11"/>
      <c r="G50" s="11"/>
      <c r="H50" s="11"/>
      <c r="I50" s="11"/>
      <c r="J50" s="11"/>
      <c r="K50" s="157">
        <f>+K14-K44</f>
        <v>-68.05813683690269</v>
      </c>
      <c r="L50" s="157">
        <f>+L14-L44</f>
        <v>-20.138995170236058</v>
      </c>
      <c r="M50" s="157">
        <f>+M14-M44</f>
        <v>17.780146496430575</v>
      </c>
      <c r="N50" s="178">
        <f>+N14-N44</f>
        <v>58.744499274208351</v>
      </c>
    </row>
    <row r="51" spans="1:16" ht="13" x14ac:dyDescent="0.3">
      <c r="A51" s="10" t="s">
        <v>150</v>
      </c>
      <c r="B51" s="179"/>
      <c r="C51" s="179"/>
      <c r="D51" s="179"/>
      <c r="E51" s="179"/>
      <c r="F51" s="179"/>
      <c r="G51" s="10"/>
      <c r="H51" s="180"/>
      <c r="I51" s="179"/>
      <c r="J51" s="179"/>
      <c r="K51" s="182">
        <f>K50+K36+K37+K39</f>
        <v>133.94886316309731</v>
      </c>
      <c r="L51" s="181">
        <f>L50+L36+L37+L39</f>
        <v>232.35500482976394</v>
      </c>
      <c r="M51" s="181">
        <f>M50+M36+M37+M39</f>
        <v>330.76114649643057</v>
      </c>
      <c r="N51" s="181">
        <f>N50+N36+N37+N39</f>
        <v>374.14449927420833</v>
      </c>
    </row>
    <row r="52" spans="1:16" x14ac:dyDescent="0.25">
      <c r="A52" s="23" t="s">
        <v>76</v>
      </c>
      <c r="B52" s="23"/>
      <c r="C52" s="23"/>
      <c r="D52" s="54"/>
      <c r="E52" s="23"/>
      <c r="F52" s="23"/>
      <c r="G52" s="23"/>
      <c r="H52" s="23"/>
      <c r="I52" s="23"/>
      <c r="J52" s="23"/>
      <c r="K52" s="23"/>
      <c r="L52" s="24"/>
      <c r="M52" s="24"/>
      <c r="N52" s="11"/>
      <c r="P52" s="23"/>
    </row>
    <row r="53" spans="1:16" x14ac:dyDescent="0.25">
      <c r="B53" s="23" t="s">
        <v>77</v>
      </c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24"/>
      <c r="N53" s="11"/>
    </row>
    <row r="54" spans="1:16" x14ac:dyDescent="0.25">
      <c r="A54" s="23" t="s">
        <v>154</v>
      </c>
      <c r="B54" s="23"/>
      <c r="C54" s="23"/>
      <c r="D54" s="55"/>
      <c r="E54" s="41"/>
      <c r="F54" s="23"/>
      <c r="G54" s="23"/>
      <c r="H54" s="23"/>
      <c r="I54" s="23"/>
      <c r="J54" s="23"/>
      <c r="K54" s="23"/>
      <c r="L54" s="24"/>
      <c r="M54" s="24"/>
      <c r="N54" s="11"/>
    </row>
    <row r="55" spans="1:16" x14ac:dyDescent="0.25">
      <c r="A55" s="23"/>
      <c r="B55" s="23" t="s">
        <v>78</v>
      </c>
      <c r="C55" s="23"/>
      <c r="D55" s="41"/>
      <c r="E55" s="41"/>
      <c r="F55" s="23"/>
      <c r="G55" s="23"/>
      <c r="H55" s="23"/>
      <c r="I55" s="23"/>
      <c r="J55" s="23"/>
      <c r="K55" s="23"/>
      <c r="L55" s="24"/>
      <c r="M55" s="24"/>
      <c r="N55" s="11"/>
    </row>
    <row r="56" spans="1:16" x14ac:dyDescent="0.25">
      <c r="A56" s="23" t="s">
        <v>79</v>
      </c>
      <c r="B56" s="23"/>
      <c r="C56" s="23"/>
      <c r="D56" s="56"/>
      <c r="E56" s="23"/>
      <c r="F56" s="23"/>
      <c r="G56" s="23"/>
      <c r="H56" s="23"/>
      <c r="I56" s="23"/>
      <c r="J56" s="23"/>
      <c r="K56" s="23"/>
      <c r="L56" s="24"/>
      <c r="M56" s="24"/>
      <c r="N56" s="11"/>
    </row>
    <row r="57" spans="1:16" ht="13.5" x14ac:dyDescent="0.25">
      <c r="A57" s="22">
        <v>1</v>
      </c>
      <c r="B57" s="23" t="s">
        <v>153</v>
      </c>
      <c r="C57" s="23"/>
      <c r="D57" s="23"/>
      <c r="E57" s="23"/>
      <c r="F57" s="23"/>
      <c r="G57" s="23"/>
      <c r="H57" s="23"/>
      <c r="I57" s="23"/>
      <c r="J57" s="23"/>
      <c r="K57" s="24"/>
      <c r="L57" s="24"/>
      <c r="M57" s="24"/>
      <c r="N57" s="1"/>
    </row>
    <row r="58" spans="1:16" ht="13.5" x14ac:dyDescent="0.25">
      <c r="A58" s="22"/>
      <c r="B58" s="23" t="s">
        <v>155</v>
      </c>
      <c r="C58" s="23"/>
      <c r="D58" s="23"/>
      <c r="E58" s="23"/>
      <c r="F58" s="23"/>
      <c r="G58" s="23"/>
      <c r="H58" s="23"/>
      <c r="I58" s="23"/>
      <c r="J58" s="23"/>
      <c r="K58" s="24"/>
      <c r="L58" s="24"/>
      <c r="M58" s="24"/>
      <c r="N58" s="1"/>
    </row>
    <row r="59" spans="1:16" ht="13.5" x14ac:dyDescent="0.25">
      <c r="A59" s="22">
        <v>4</v>
      </c>
      <c r="B59" s="23" t="s">
        <v>134</v>
      </c>
      <c r="C59" s="23"/>
      <c r="D59" s="23"/>
      <c r="E59" s="23"/>
      <c r="F59" s="23"/>
      <c r="G59" s="23"/>
      <c r="H59" s="23"/>
      <c r="I59" s="23"/>
      <c r="J59" s="23"/>
      <c r="K59" s="24"/>
      <c r="L59" s="24"/>
      <c r="M59" s="24"/>
      <c r="N59" s="23"/>
    </row>
    <row r="60" spans="1:16" ht="13.5" x14ac:dyDescent="0.25">
      <c r="A60" s="22">
        <v>5</v>
      </c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4"/>
      <c r="L60" s="24"/>
      <c r="M60" s="24"/>
      <c r="N60" s="23"/>
    </row>
    <row r="61" spans="1:16" ht="13.5" x14ac:dyDescent="0.25">
      <c r="A61" s="22"/>
      <c r="B61" s="23"/>
      <c r="C61" s="23" t="s">
        <v>107</v>
      </c>
      <c r="D61" s="23"/>
      <c r="E61" s="23"/>
      <c r="F61" s="23"/>
      <c r="G61" s="23"/>
      <c r="H61" s="23"/>
      <c r="I61" s="23"/>
      <c r="J61" s="23"/>
      <c r="K61" s="24"/>
      <c r="L61" s="24"/>
      <c r="M61" s="24"/>
      <c r="N61" s="23"/>
    </row>
    <row r="62" spans="1:16" ht="13.5" x14ac:dyDescent="0.25">
      <c r="A62" s="22"/>
      <c r="B62" s="23"/>
      <c r="C62" s="23" t="s">
        <v>93</v>
      </c>
      <c r="D62" s="23"/>
      <c r="E62" s="23"/>
      <c r="F62" s="54">
        <v>650</v>
      </c>
      <c r="G62" s="99" t="s">
        <v>92</v>
      </c>
      <c r="H62" s="23" t="s">
        <v>94</v>
      </c>
      <c r="I62" s="41"/>
      <c r="J62" s="102">
        <v>575</v>
      </c>
      <c r="K62" s="99" t="s">
        <v>92</v>
      </c>
      <c r="L62" s="24"/>
      <c r="M62" s="101"/>
      <c r="N62" s="100"/>
    </row>
    <row r="63" spans="1:16" ht="13.5" x14ac:dyDescent="0.25">
      <c r="A63" s="22">
        <v>6</v>
      </c>
      <c r="B63" s="23" t="s">
        <v>160</v>
      </c>
      <c r="C63" s="23"/>
      <c r="D63" s="23"/>
      <c r="E63" s="23"/>
      <c r="F63" s="23"/>
      <c r="G63" s="23"/>
      <c r="H63" s="23"/>
      <c r="I63" s="23"/>
      <c r="J63" s="23"/>
      <c r="K63" s="24"/>
      <c r="L63" s="24"/>
      <c r="M63" s="24"/>
      <c r="N63" s="23"/>
    </row>
    <row r="64" spans="1:16" ht="13.5" x14ac:dyDescent="0.25">
      <c r="A64" s="22"/>
      <c r="B64" s="23"/>
      <c r="C64" s="23" t="s">
        <v>161</v>
      </c>
      <c r="D64" s="23"/>
      <c r="E64" s="23"/>
      <c r="F64" s="23"/>
      <c r="G64" s="23"/>
      <c r="H64" s="23"/>
      <c r="I64" s="23"/>
      <c r="J64" s="23"/>
      <c r="K64" s="24"/>
      <c r="L64" s="24"/>
      <c r="M64" s="24"/>
      <c r="N64" s="23"/>
    </row>
    <row r="65" spans="1:14" ht="13.5" x14ac:dyDescent="0.25">
      <c r="A65" s="22"/>
      <c r="B65" s="23"/>
      <c r="C65" s="23" t="s">
        <v>30</v>
      </c>
      <c r="D65" s="23"/>
      <c r="E65" s="23"/>
      <c r="F65" s="23"/>
      <c r="G65" s="23"/>
      <c r="H65" s="23"/>
      <c r="I65" s="23"/>
      <c r="J65" s="23"/>
      <c r="K65" s="24"/>
      <c r="L65" s="24"/>
      <c r="M65" s="24"/>
      <c r="N65" s="23"/>
    </row>
    <row r="66" spans="1:14" ht="13.5" x14ac:dyDescent="0.25">
      <c r="A66" s="22"/>
      <c r="B66" s="23"/>
      <c r="C66" s="23" t="s">
        <v>31</v>
      </c>
      <c r="D66" s="23"/>
      <c r="E66" s="23"/>
      <c r="F66" s="23"/>
      <c r="G66" s="23"/>
      <c r="H66" s="23"/>
      <c r="I66" s="23"/>
      <c r="J66" s="23"/>
      <c r="K66" s="24"/>
      <c r="L66" s="24"/>
      <c r="M66" s="24"/>
      <c r="N66" s="23"/>
    </row>
    <row r="67" spans="1:14" ht="13.5" x14ac:dyDescent="0.25">
      <c r="A67" s="22">
        <v>7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4"/>
      <c r="L67" s="24"/>
      <c r="M67" s="24"/>
      <c r="N67" s="23"/>
    </row>
    <row r="68" spans="1:14" ht="13.5" x14ac:dyDescent="0.25">
      <c r="A68" s="22">
        <v>8</v>
      </c>
      <c r="B68" s="23" t="s">
        <v>32</v>
      </c>
      <c r="C68" s="23"/>
      <c r="D68" s="23"/>
      <c r="E68" s="23"/>
      <c r="F68" s="23"/>
      <c r="G68" s="23"/>
      <c r="H68" s="23"/>
      <c r="I68" s="23"/>
      <c r="J68" s="23"/>
      <c r="K68" s="24"/>
      <c r="L68" s="24"/>
      <c r="M68" s="24"/>
      <c r="N68" s="23"/>
    </row>
    <row r="69" spans="1:14" ht="13.5" x14ac:dyDescent="0.25">
      <c r="A69" s="22">
        <v>9</v>
      </c>
      <c r="B69" s="23" t="s">
        <v>144</v>
      </c>
      <c r="C69" s="23"/>
      <c r="D69" s="23"/>
      <c r="E69" s="23"/>
      <c r="F69" s="23"/>
      <c r="G69" s="23"/>
      <c r="H69" s="23"/>
      <c r="I69" s="23"/>
      <c r="J69" s="23"/>
      <c r="K69" s="24"/>
      <c r="L69" s="24"/>
      <c r="M69" s="24"/>
      <c r="N69" s="23"/>
    </row>
    <row r="70" spans="1:14" ht="13.5" x14ac:dyDescent="0.25">
      <c r="A70" s="22">
        <v>10</v>
      </c>
      <c r="B70" s="23" t="s">
        <v>90</v>
      </c>
      <c r="C70" s="23"/>
      <c r="D70" s="23"/>
      <c r="E70" s="23"/>
      <c r="F70" s="23"/>
      <c r="G70" s="23"/>
      <c r="H70" s="23"/>
      <c r="I70" s="23"/>
      <c r="J70" s="23"/>
      <c r="K70" s="24"/>
      <c r="L70" s="24"/>
      <c r="M70" s="24"/>
      <c r="N70" s="23"/>
    </row>
    <row r="71" spans="1:14" ht="13.5" x14ac:dyDescent="0.25">
      <c r="A71" s="22">
        <v>11</v>
      </c>
      <c r="B71" s="23" t="s">
        <v>135</v>
      </c>
      <c r="C71" s="23"/>
      <c r="D71" s="23"/>
      <c r="E71" s="23"/>
      <c r="F71" s="23"/>
      <c r="G71" s="23"/>
      <c r="H71" s="23"/>
      <c r="I71" s="23"/>
      <c r="J71" s="23"/>
      <c r="K71" s="24"/>
      <c r="L71" s="24"/>
      <c r="M71" s="24"/>
      <c r="N71" s="23"/>
    </row>
    <row r="72" spans="1:14" ht="13.5" x14ac:dyDescent="0.25">
      <c r="A72" s="22">
        <v>12</v>
      </c>
      <c r="B72" s="23" t="s">
        <v>33</v>
      </c>
      <c r="C72" s="23"/>
      <c r="D72" s="23"/>
      <c r="E72" s="23"/>
      <c r="F72" s="23"/>
      <c r="G72" s="23"/>
      <c r="H72" s="23"/>
      <c r="I72" s="23"/>
      <c r="J72" s="23"/>
      <c r="K72" s="24"/>
      <c r="L72" s="24"/>
      <c r="M72" s="24"/>
      <c r="N72" s="23"/>
    </row>
    <row r="73" spans="1:14" ht="13.5" x14ac:dyDescent="0.25">
      <c r="A73" s="22"/>
      <c r="B73" s="23"/>
      <c r="C73" s="23" t="s">
        <v>145</v>
      </c>
      <c r="D73" s="23"/>
      <c r="E73" s="23"/>
      <c r="F73" s="23"/>
      <c r="G73" s="23"/>
      <c r="H73" s="23"/>
      <c r="I73" s="23"/>
      <c r="J73" s="23"/>
      <c r="K73" s="24"/>
      <c r="L73" s="24"/>
      <c r="M73" s="24"/>
      <c r="N73" s="23"/>
    </row>
    <row r="74" spans="1:14" ht="13.5" x14ac:dyDescent="0.25">
      <c r="A74" s="22">
        <v>13</v>
      </c>
      <c r="B74" s="23" t="s">
        <v>136</v>
      </c>
      <c r="C74" s="23"/>
      <c r="D74" s="23"/>
      <c r="E74" s="23"/>
      <c r="F74" s="23"/>
      <c r="G74" s="23"/>
      <c r="H74" s="23"/>
      <c r="I74" s="23"/>
      <c r="J74" s="23"/>
      <c r="K74" s="24"/>
      <c r="L74" s="24"/>
      <c r="M74" s="24"/>
      <c r="N74" s="23"/>
    </row>
    <row r="75" spans="1:14" ht="13.5" x14ac:dyDescent="0.25">
      <c r="A75" s="22">
        <v>14</v>
      </c>
      <c r="B75" s="156" t="s">
        <v>137</v>
      </c>
      <c r="C75" s="1"/>
      <c r="D75" s="1"/>
      <c r="E75" s="1"/>
      <c r="F75" s="1"/>
      <c r="G75" s="1"/>
      <c r="H75" s="1"/>
      <c r="I75" s="1"/>
      <c r="J75" s="1"/>
      <c r="K75" s="1"/>
      <c r="L75" s="2"/>
      <c r="M75" s="24"/>
      <c r="N75" s="23"/>
    </row>
    <row r="76" spans="1:14" ht="13.5" x14ac:dyDescent="0.25">
      <c r="A76" s="22"/>
      <c r="B76" s="156" t="s">
        <v>106</v>
      </c>
      <c r="C76" s="126"/>
      <c r="D76" s="1"/>
      <c r="E76" s="1"/>
      <c r="F76" s="1"/>
      <c r="G76" s="1"/>
      <c r="H76" s="1"/>
      <c r="I76" s="1"/>
      <c r="J76" s="1"/>
      <c r="K76" s="1"/>
      <c r="L76" s="2"/>
      <c r="M76" s="24"/>
      <c r="N76" s="23"/>
    </row>
    <row r="77" spans="1:14" ht="13.5" x14ac:dyDescent="0.25">
      <c r="A77" s="22">
        <v>15</v>
      </c>
      <c r="B77" s="23" t="s">
        <v>34</v>
      </c>
      <c r="C77" s="23"/>
      <c r="D77" s="23"/>
      <c r="E77" s="23"/>
      <c r="F77" s="23"/>
      <c r="G77" s="23"/>
      <c r="H77" s="23"/>
      <c r="I77" s="23"/>
      <c r="J77" s="23"/>
      <c r="K77" s="24"/>
      <c r="L77" s="24"/>
      <c r="M77" s="24"/>
      <c r="N77" s="23"/>
    </row>
    <row r="78" spans="1:14" ht="13.5" x14ac:dyDescent="0.25">
      <c r="A78" s="22"/>
      <c r="B78" s="23"/>
      <c r="C78" s="23" t="s">
        <v>35</v>
      </c>
      <c r="D78" s="23"/>
      <c r="E78" s="23"/>
      <c r="F78" s="23"/>
      <c r="G78" s="23"/>
      <c r="H78" s="23"/>
      <c r="I78" s="23"/>
      <c r="J78" s="23"/>
      <c r="K78" s="24"/>
      <c r="L78" s="24"/>
      <c r="M78" s="24"/>
      <c r="N78" s="23"/>
    </row>
    <row r="79" spans="1:14" x14ac:dyDescent="0.25">
      <c r="A79" s="198" t="s">
        <v>36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23"/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4"/>
      <c r="L80" s="24"/>
      <c r="M80" s="24"/>
      <c r="N80" s="23"/>
    </row>
    <row r="81" spans="1:16" ht="25.5" customHeight="1" x14ac:dyDescent="0.25">
      <c r="A81" s="23"/>
      <c r="B81" s="23"/>
      <c r="C81" s="23"/>
      <c r="D81" s="23"/>
      <c r="E81" s="121" t="s">
        <v>37</v>
      </c>
      <c r="F81" s="25" t="s">
        <v>67</v>
      </c>
      <c r="G81" s="25" t="s">
        <v>68</v>
      </c>
      <c r="H81" s="25"/>
      <c r="I81" s="120" t="s">
        <v>69</v>
      </c>
      <c r="J81" s="25" t="s">
        <v>38</v>
      </c>
      <c r="K81" s="25" t="s">
        <v>133</v>
      </c>
      <c r="L81" s="113" t="s">
        <v>104</v>
      </c>
      <c r="M81" s="25" t="s">
        <v>39</v>
      </c>
      <c r="N81" s="23"/>
    </row>
    <row r="82" spans="1:16" x14ac:dyDescent="0.25">
      <c r="A82" s="23"/>
      <c r="B82" s="69" t="s">
        <v>140</v>
      </c>
      <c r="C82" s="69"/>
      <c r="D82" s="69"/>
      <c r="E82" s="70">
        <v>2</v>
      </c>
      <c r="F82" s="71">
        <v>208000</v>
      </c>
      <c r="G82" s="72">
        <v>2000</v>
      </c>
      <c r="H82" s="46"/>
      <c r="I82" s="68">
        <f>'machinery costs'!J2</f>
        <v>14.127750000000002</v>
      </c>
      <c r="J82" s="84">
        <v>25.61</v>
      </c>
      <c r="K82" s="115">
        <v>7.0000000000000007E-2</v>
      </c>
      <c r="L82" s="114">
        <f>(G82*E82)/J82</f>
        <v>156.18898867629832</v>
      </c>
      <c r="M82" s="115">
        <f>1.42*E82</f>
        <v>2.84</v>
      </c>
      <c r="N82" s="23"/>
    </row>
    <row r="83" spans="1:16" x14ac:dyDescent="0.25">
      <c r="A83" s="23"/>
      <c r="B83" s="54" t="s">
        <v>129</v>
      </c>
      <c r="C83" s="54"/>
      <c r="D83" s="54"/>
      <c r="E83" s="70">
        <v>1</v>
      </c>
      <c r="F83" s="71">
        <v>63000</v>
      </c>
      <c r="G83" s="72">
        <v>1000</v>
      </c>
      <c r="H83" s="46"/>
      <c r="I83" s="68">
        <f>'machinery costs'!J3</f>
        <v>7.9773749999999994</v>
      </c>
      <c r="J83" s="84">
        <v>12.73</v>
      </c>
      <c r="K83" s="115">
        <f>0.81*E83</f>
        <v>0.81</v>
      </c>
      <c r="L83" s="114">
        <f>(G83*E83)/J83</f>
        <v>78.554595443833463</v>
      </c>
      <c r="M83" s="115">
        <v>1.68</v>
      </c>
      <c r="N83" s="23"/>
      <c r="O83" s="20"/>
      <c r="P83" s="20"/>
    </row>
    <row r="84" spans="1:16" x14ac:dyDescent="0.25">
      <c r="A84" s="23"/>
      <c r="B84" s="54" t="s">
        <v>141</v>
      </c>
      <c r="C84" s="54"/>
      <c r="D84" s="54"/>
      <c r="E84" s="70">
        <v>1</v>
      </c>
      <c r="F84" s="71">
        <v>296000</v>
      </c>
      <c r="G84" s="72">
        <v>2000</v>
      </c>
      <c r="H84" s="46"/>
      <c r="I84" s="68">
        <f>'machinery costs'!J4</f>
        <v>20.787062500000005</v>
      </c>
      <c r="J84" s="77" t="s">
        <v>80</v>
      </c>
      <c r="K84" s="78" t="s">
        <v>80</v>
      </c>
      <c r="L84" s="114">
        <f>L85</f>
        <v>98.231827111984288</v>
      </c>
      <c r="M84" s="116">
        <f>(L84*45.71)/1000</f>
        <v>4.490176817288801</v>
      </c>
      <c r="N84" s="23"/>
      <c r="O84" s="20"/>
      <c r="P84" s="20"/>
    </row>
    <row r="85" spans="1:16" x14ac:dyDescent="0.25">
      <c r="A85" s="23"/>
      <c r="B85" s="54"/>
      <c r="C85" s="54" t="s">
        <v>130</v>
      </c>
      <c r="D85" s="54"/>
      <c r="E85" s="70">
        <v>1</v>
      </c>
      <c r="F85" s="71">
        <v>26000</v>
      </c>
      <c r="G85" s="72">
        <v>1000</v>
      </c>
      <c r="H85" s="46"/>
      <c r="I85" s="68">
        <f>'machinery costs'!J5</f>
        <v>3.6517812500000004</v>
      </c>
      <c r="J85" s="86">
        <v>10.18</v>
      </c>
      <c r="K85" s="115">
        <v>1.49</v>
      </c>
      <c r="L85" s="114">
        <f>(G85*E85)/J85</f>
        <v>98.231827111984288</v>
      </c>
      <c r="M85" s="116">
        <v>0.33</v>
      </c>
      <c r="N85" s="23"/>
      <c r="O85" s="20"/>
      <c r="P85" s="20"/>
    </row>
    <row r="86" spans="1:16" x14ac:dyDescent="0.25">
      <c r="A86" s="23"/>
      <c r="B86" s="54" t="s">
        <v>131</v>
      </c>
      <c r="C86" s="54"/>
      <c r="D86" s="54"/>
      <c r="E86" s="70">
        <v>1</v>
      </c>
      <c r="F86" s="71">
        <v>70000</v>
      </c>
      <c r="G86" s="72">
        <v>2000</v>
      </c>
      <c r="H86" s="46"/>
      <c r="I86" s="68">
        <f>'machinery costs'!J6</f>
        <v>4.6900000000000004</v>
      </c>
      <c r="J86" s="77" t="s">
        <v>80</v>
      </c>
      <c r="K86" s="28" t="s">
        <v>63</v>
      </c>
      <c r="L86" s="122" t="s">
        <v>80</v>
      </c>
      <c r="M86" s="116">
        <v>3.5</v>
      </c>
      <c r="N86" s="23"/>
      <c r="O86" s="20"/>
      <c r="P86" s="20"/>
    </row>
    <row r="87" spans="1:16" x14ac:dyDescent="0.25">
      <c r="A87" s="23"/>
      <c r="B87" s="54" t="s">
        <v>40</v>
      </c>
      <c r="C87" s="54"/>
      <c r="D87" s="54"/>
      <c r="E87" s="70">
        <v>1</v>
      </c>
      <c r="F87" s="71">
        <v>12000</v>
      </c>
      <c r="G87" s="72">
        <v>2000</v>
      </c>
      <c r="H87" s="46"/>
      <c r="I87" s="68">
        <f>'machinery costs'!J7</f>
        <v>0.81506249999999991</v>
      </c>
      <c r="J87" s="85">
        <v>34</v>
      </c>
      <c r="K87" s="115">
        <f>0.12*E87</f>
        <v>0.12</v>
      </c>
      <c r="L87" s="114">
        <f>(G87*E87)/J87</f>
        <v>58.823529411764703</v>
      </c>
      <c r="M87" s="116">
        <v>0.15</v>
      </c>
      <c r="N87" s="23"/>
      <c r="O87" s="20"/>
      <c r="P87" s="20"/>
    </row>
    <row r="88" spans="1:16" x14ac:dyDescent="0.25">
      <c r="A88" s="23"/>
      <c r="B88" s="54" t="s">
        <v>132</v>
      </c>
      <c r="C88" s="54"/>
      <c r="D88" s="54"/>
      <c r="E88" s="70">
        <v>1</v>
      </c>
      <c r="F88" s="71">
        <v>62500</v>
      </c>
      <c r="G88" s="168">
        <v>2000</v>
      </c>
      <c r="H88" s="46"/>
      <c r="I88" s="68">
        <f>'machinery costs'!J8</f>
        <v>4.2451171875</v>
      </c>
      <c r="J88" s="169" t="s">
        <v>80</v>
      </c>
      <c r="K88" s="115">
        <f>(L88*9.9)/1000</f>
        <v>0.48624754420432226</v>
      </c>
      <c r="L88" s="114">
        <f>L85*0.5</f>
        <v>49.115913555992144</v>
      </c>
      <c r="M88" s="116">
        <v>1</v>
      </c>
      <c r="N88" s="23"/>
      <c r="O88" s="20"/>
      <c r="P88" s="20"/>
    </row>
    <row r="89" spans="1:16" x14ac:dyDescent="0.25">
      <c r="A89" s="23"/>
      <c r="B89" s="54" t="s">
        <v>142</v>
      </c>
      <c r="C89" s="54"/>
      <c r="D89" s="54"/>
      <c r="E89" s="70">
        <v>2</v>
      </c>
      <c r="F89" s="71">
        <v>267000</v>
      </c>
      <c r="G89" s="72">
        <v>2000</v>
      </c>
      <c r="H89" s="47"/>
      <c r="I89" s="68">
        <f>'machinery costs'!J9</f>
        <v>17.888999999999999</v>
      </c>
      <c r="J89" s="79" t="s">
        <v>80</v>
      </c>
      <c r="K89" s="119" t="s">
        <v>80</v>
      </c>
      <c r="L89" s="114">
        <f>(L83+L88)</f>
        <v>127.67050899982561</v>
      </c>
      <c r="M89" s="116">
        <f>(L89*3.17)/G89</f>
        <v>0.20235775676472362</v>
      </c>
      <c r="N89" s="23"/>
      <c r="O89" s="20"/>
      <c r="P89" s="20"/>
    </row>
    <row r="90" spans="1:16" x14ac:dyDescent="0.25">
      <c r="A90" s="23"/>
      <c r="B90" s="54" t="s">
        <v>143</v>
      </c>
      <c r="C90" s="54"/>
      <c r="D90" s="54"/>
      <c r="E90" s="70">
        <v>1</v>
      </c>
      <c r="F90" s="71">
        <v>74000</v>
      </c>
      <c r="G90" s="72">
        <v>1000</v>
      </c>
      <c r="H90" s="47"/>
      <c r="I90" s="68">
        <f>'machinery costs'!J10</f>
        <v>9.574906249999998</v>
      </c>
      <c r="J90" s="80" t="s">
        <v>80</v>
      </c>
      <c r="K90" s="80" t="s">
        <v>80</v>
      </c>
      <c r="L90" s="114">
        <f>L87</f>
        <v>58.823529411764703</v>
      </c>
      <c r="M90" s="116">
        <f>(L90*2.25)/G90</f>
        <v>0.13235294117647059</v>
      </c>
      <c r="N90" s="23"/>
      <c r="O90" s="20"/>
      <c r="P90" s="20"/>
    </row>
    <row r="91" spans="1:16" x14ac:dyDescent="0.25">
      <c r="A91" s="23"/>
      <c r="B91" s="73" t="s">
        <v>62</v>
      </c>
      <c r="C91" s="73"/>
      <c r="D91" s="73"/>
      <c r="E91" s="74">
        <v>1</v>
      </c>
      <c r="F91" s="75">
        <v>20000</v>
      </c>
      <c r="G91" s="76">
        <v>2000</v>
      </c>
      <c r="H91" s="48"/>
      <c r="I91" s="127">
        <f>'machinery costs'!J11</f>
        <v>1.34</v>
      </c>
      <c r="J91" s="81" t="s">
        <v>80</v>
      </c>
      <c r="K91" s="118">
        <f>0.21*E91</f>
        <v>0.21</v>
      </c>
      <c r="L91" s="45"/>
      <c r="M91" s="117">
        <v>0.15</v>
      </c>
      <c r="N91" s="23"/>
      <c r="O91" s="1"/>
      <c r="P91" s="20"/>
    </row>
    <row r="92" spans="1:16" x14ac:dyDescent="0.25">
      <c r="A92" s="23"/>
      <c r="B92" s="23"/>
      <c r="C92" s="23"/>
      <c r="D92" s="23"/>
      <c r="E92" s="30"/>
      <c r="F92" s="27"/>
      <c r="G92" s="26"/>
      <c r="H92" s="26"/>
      <c r="J92" s="31" t="s">
        <v>60</v>
      </c>
      <c r="K92" s="88">
        <f>SUM(K82:K91)*M96</f>
        <v>11.151866404715129</v>
      </c>
      <c r="M92" s="29"/>
      <c r="N92" s="23"/>
      <c r="O92" s="2"/>
    </row>
    <row r="93" spans="1:16" ht="13" x14ac:dyDescent="0.3">
      <c r="A93" s="23"/>
      <c r="B93" s="32" t="s">
        <v>70</v>
      </c>
      <c r="C93" s="32"/>
      <c r="D93" s="32"/>
      <c r="E93" s="32"/>
      <c r="F93" s="33"/>
      <c r="G93" s="33"/>
      <c r="H93" s="33"/>
      <c r="I93" s="87">
        <f>SUM(I82:I91)</f>
        <v>85.09805468750001</v>
      </c>
      <c r="J93" s="31" t="s">
        <v>61</v>
      </c>
      <c r="K93" s="88">
        <f>(K92*0.1)+K92</f>
        <v>12.267053045186643</v>
      </c>
      <c r="L93" s="49" t="s">
        <v>71</v>
      </c>
      <c r="M93" s="88">
        <f>SUM(M82:M91)</f>
        <v>14.474887515229996</v>
      </c>
      <c r="N93" s="23"/>
    </row>
    <row r="94" spans="1:16" x14ac:dyDescent="0.25">
      <c r="A94" s="23"/>
      <c r="B94" s="32"/>
      <c r="C94" s="23"/>
      <c r="D94" s="23"/>
      <c r="E94" s="23"/>
      <c r="F94" s="34"/>
      <c r="G94" s="35"/>
      <c r="H94" s="35"/>
      <c r="I94" s="32"/>
      <c r="J94" s="36"/>
      <c r="K94" s="36"/>
      <c r="L94" s="24"/>
      <c r="M94" s="24"/>
      <c r="N94" s="23"/>
    </row>
    <row r="95" spans="1:16" x14ac:dyDescent="0.25">
      <c r="A95" s="23"/>
      <c r="B95" s="23"/>
      <c r="C95" s="23"/>
      <c r="D95" s="23"/>
      <c r="E95" s="23"/>
      <c r="F95" s="37"/>
      <c r="G95" s="37"/>
      <c r="H95" s="37"/>
      <c r="I95" s="32"/>
      <c r="J95" s="36"/>
      <c r="K95" s="36"/>
      <c r="L95" s="24"/>
      <c r="M95" s="24"/>
      <c r="N95" s="23"/>
    </row>
    <row r="96" spans="1:16" x14ac:dyDescent="0.25">
      <c r="A96" s="23"/>
      <c r="B96" s="32"/>
      <c r="C96" s="32"/>
      <c r="D96" s="32"/>
      <c r="E96" s="32"/>
      <c r="F96" s="38"/>
      <c r="G96" s="35"/>
      <c r="H96" s="35"/>
      <c r="I96" s="32"/>
      <c r="J96" s="39" t="s">
        <v>41</v>
      </c>
      <c r="K96" s="36"/>
      <c r="L96" s="36"/>
      <c r="M96" s="89">
        <v>3.5</v>
      </c>
      <c r="N96" s="23"/>
    </row>
    <row r="97" spans="1:14" x14ac:dyDescent="0.25">
      <c r="A97" s="23" t="s">
        <v>138</v>
      </c>
      <c r="B97" s="32"/>
      <c r="C97" s="32"/>
      <c r="D97" s="32"/>
      <c r="E97" s="32"/>
      <c r="F97" s="82"/>
      <c r="G97" s="82"/>
      <c r="H97" s="82"/>
      <c r="I97" s="35"/>
      <c r="J97" s="39"/>
      <c r="K97" s="36"/>
      <c r="L97" s="36"/>
      <c r="M97" s="40"/>
      <c r="N97" s="23"/>
    </row>
    <row r="98" spans="1:14" x14ac:dyDescent="0.25">
      <c r="A98" s="23" t="s">
        <v>139</v>
      </c>
      <c r="B98" s="32"/>
      <c r="C98" s="32"/>
      <c r="D98" s="32"/>
      <c r="E98" s="32"/>
      <c r="F98" s="82"/>
      <c r="G98" s="82"/>
      <c r="H98" s="82"/>
      <c r="I98" s="35"/>
      <c r="J98" s="36"/>
      <c r="K98" s="36"/>
      <c r="L98" s="36"/>
      <c r="M98" s="24"/>
      <c r="N98" s="23"/>
    </row>
    <row r="99" spans="1:14" x14ac:dyDescent="0.25">
      <c r="A99" s="126" t="s">
        <v>147</v>
      </c>
      <c r="B99" s="32"/>
      <c r="C99" s="32"/>
      <c r="D99" s="32"/>
      <c r="E99" s="32"/>
      <c r="F99" s="82"/>
      <c r="G99" s="82"/>
      <c r="H99" s="82"/>
      <c r="I99" s="35"/>
      <c r="J99" s="24"/>
      <c r="K99" s="24"/>
      <c r="L99" s="24"/>
      <c r="M99" s="24"/>
      <c r="N99" s="23"/>
    </row>
    <row r="100" spans="1:14" x14ac:dyDescent="0.25">
      <c r="A100" s="23" t="s">
        <v>81</v>
      </c>
      <c r="B100" s="23"/>
      <c r="C100" s="23"/>
      <c r="D100" s="23"/>
      <c r="E100" s="23"/>
      <c r="F100" s="43"/>
      <c r="G100" s="43"/>
      <c r="H100" s="43"/>
      <c r="I100" s="35"/>
      <c r="J100" s="23"/>
      <c r="K100" s="24"/>
      <c r="L100" s="24"/>
      <c r="M100" s="24"/>
      <c r="N100" s="23"/>
    </row>
    <row r="101" spans="1:14" x14ac:dyDescent="0.25">
      <c r="A101" s="23" t="s">
        <v>95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4"/>
      <c r="L101" s="24"/>
      <c r="M101" s="24"/>
      <c r="N101" s="23"/>
    </row>
    <row r="102" spans="1:14" x14ac:dyDescent="0.25">
      <c r="A102" s="23" t="s">
        <v>82</v>
      </c>
      <c r="B102" s="23"/>
      <c r="C102" s="23"/>
      <c r="D102" s="23"/>
      <c r="E102" s="41"/>
      <c r="F102" s="41"/>
      <c r="G102" s="41"/>
      <c r="H102" s="41"/>
      <c r="I102" s="41"/>
      <c r="J102" s="23"/>
      <c r="K102" s="24"/>
      <c r="L102" s="24"/>
      <c r="M102" s="24"/>
      <c r="N102" s="23"/>
    </row>
    <row r="103" spans="1:14" x14ac:dyDescent="0.25">
      <c r="A103" s="83" t="s">
        <v>83</v>
      </c>
      <c r="B103" s="23"/>
      <c r="C103" s="42"/>
      <c r="D103" s="23"/>
      <c r="E103" s="41"/>
      <c r="F103" s="41"/>
      <c r="G103" s="41"/>
      <c r="H103" s="41"/>
      <c r="I103" s="41"/>
      <c r="J103" s="23"/>
      <c r="K103" s="24"/>
      <c r="L103" s="24"/>
      <c r="M103" s="24"/>
      <c r="N103" s="23"/>
    </row>
    <row r="104" spans="1:14" x14ac:dyDescent="0.25">
      <c r="A104" s="23" t="s">
        <v>84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4"/>
      <c r="L104" s="24"/>
      <c r="M104" s="24"/>
      <c r="N104" s="23"/>
    </row>
    <row r="105" spans="1:14" x14ac:dyDescent="0.25">
      <c r="A105" s="23" t="s">
        <v>149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4"/>
      <c r="L105" s="24"/>
      <c r="M105" s="24"/>
      <c r="N105" s="23"/>
    </row>
    <row r="106" spans="1:14" x14ac:dyDescent="0.25">
      <c r="A106" s="23" t="s">
        <v>42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4"/>
      <c r="L106" s="24"/>
      <c r="M106" s="24"/>
      <c r="N106" s="23"/>
    </row>
    <row r="107" spans="1:14" x14ac:dyDescent="0.25">
      <c r="A107" s="23" t="s">
        <v>64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4"/>
      <c r="L107" s="24"/>
      <c r="M107" s="24"/>
      <c r="N107" s="23"/>
    </row>
    <row r="108" spans="1:14" x14ac:dyDescent="0.25">
      <c r="A108" s="23" t="s">
        <v>65</v>
      </c>
      <c r="B108" s="23"/>
      <c r="C108" s="23"/>
      <c r="D108" s="23"/>
      <c r="E108" s="23"/>
      <c r="F108" s="23"/>
      <c r="G108" s="23"/>
      <c r="H108" s="23"/>
      <c r="I108" s="23"/>
    </row>
    <row r="109" spans="1:14" x14ac:dyDescent="0.25">
      <c r="A109" s="23" t="s">
        <v>159</v>
      </c>
    </row>
    <row r="110" spans="1:14" x14ac:dyDescent="0.25">
      <c r="A110" t="s">
        <v>158</v>
      </c>
    </row>
  </sheetData>
  <mergeCells count="11">
    <mergeCell ref="E6:G6"/>
    <mergeCell ref="M4:N4"/>
    <mergeCell ref="K4:L4"/>
    <mergeCell ref="G4:H4"/>
    <mergeCell ref="E3:K3"/>
    <mergeCell ref="D1:M1"/>
    <mergeCell ref="A79:M79"/>
    <mergeCell ref="D2:M2"/>
    <mergeCell ref="I6:J6"/>
    <mergeCell ref="I7:J7"/>
    <mergeCell ref="K6:M6"/>
  </mergeCells>
  <phoneticPr fontId="0" type="noConversion"/>
  <printOptions horizontalCentered="1"/>
  <pageMargins left="0.5" right="0.5" top="0.5" bottom="0.5" header="0.5" footer="0.5"/>
  <pageSetup scale="92" fitToHeight="2" orientation="portrait" horizontalDpi="300" verticalDpi="300" r:id="rId1"/>
  <headerFooter alignWithMargins="0"/>
  <ignoredErrors>
    <ignoredError sqref="L8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RowHeight="12.5" x14ac:dyDescent="0.25"/>
  <cols>
    <col min="1" max="1" width="3.7265625" customWidth="1"/>
    <col min="2" max="3" width="13.26953125" customWidth="1"/>
    <col min="4" max="4" width="12.7265625" customWidth="1"/>
    <col min="5" max="5" width="12.26953125" customWidth="1"/>
    <col min="6" max="6" width="14.1796875" customWidth="1"/>
    <col min="7" max="7" width="12" customWidth="1"/>
    <col min="8" max="9" width="12.54296875" customWidth="1"/>
  </cols>
  <sheetData>
    <row r="1" spans="1:10" ht="23.25" customHeight="1" x14ac:dyDescent="0.25">
      <c r="A1" s="23" t="s">
        <v>96</v>
      </c>
      <c r="B1" s="23"/>
      <c r="C1" s="25" t="s">
        <v>97</v>
      </c>
      <c r="D1" s="25" t="s">
        <v>98</v>
      </c>
      <c r="E1" s="25" t="s">
        <v>99</v>
      </c>
      <c r="F1" s="25" t="s">
        <v>100</v>
      </c>
      <c r="G1" s="44" t="s">
        <v>101</v>
      </c>
      <c r="H1" s="25" t="s">
        <v>102</v>
      </c>
      <c r="I1" s="25" t="s">
        <v>105</v>
      </c>
      <c r="J1" s="25" t="s">
        <v>103</v>
      </c>
    </row>
    <row r="2" spans="1:10" x14ac:dyDescent="0.25">
      <c r="A2" s="69" t="s">
        <v>140</v>
      </c>
      <c r="B2" s="69"/>
      <c r="C2" s="107">
        <f>('rr-soy-notill'!F82+('rr-soy-notill'!F82*0.34)+D2)/2</f>
        <v>147940</v>
      </c>
      <c r="D2" s="107">
        <f>('rr-soy-notill'!F82-('rr-soy-notill'!F82*0.34))/8</f>
        <v>17160</v>
      </c>
      <c r="E2" s="107">
        <f>0.06*C2</f>
        <v>8876.4</v>
      </c>
      <c r="F2" s="107">
        <f>0.005*C2</f>
        <v>739.7</v>
      </c>
      <c r="G2" s="107">
        <f>0.01*C2</f>
        <v>1479.4</v>
      </c>
      <c r="H2" s="108">
        <f>SUM(D2:G2)</f>
        <v>28255.500000000004</v>
      </c>
      <c r="I2" s="123">
        <f>'rr-soy-notill'!G82</f>
        <v>2000</v>
      </c>
      <c r="J2" s="109">
        <f>H2/I2</f>
        <v>14.127750000000002</v>
      </c>
    </row>
    <row r="3" spans="1:10" x14ac:dyDescent="0.25">
      <c r="A3" s="54" t="s">
        <v>129</v>
      </c>
      <c r="B3" s="54"/>
      <c r="C3" s="106">
        <f>('rr-soy-notill'!F83+('rr-soy-notill'!F83*0.44)+D3)/2</f>
        <v>47565</v>
      </c>
      <c r="D3" s="106">
        <f>('rr-soy-notill'!F83-('rr-soy-notill'!F83*0.44))/8</f>
        <v>4410</v>
      </c>
      <c r="E3" s="106">
        <f t="shared" ref="E3:E11" si="0">0.06*C3</f>
        <v>2853.9</v>
      </c>
      <c r="F3" s="106">
        <f t="shared" ref="F3:F11" si="1">0.005*C3</f>
        <v>237.82500000000002</v>
      </c>
      <c r="G3" s="106">
        <f t="shared" ref="G3:G11" si="2">0.01*C3</f>
        <v>475.65000000000003</v>
      </c>
      <c r="H3" s="105">
        <f t="shared" ref="H3:H11" si="3">SUM(D3:G3)</f>
        <v>7977.3749999999991</v>
      </c>
      <c r="I3" s="124">
        <f>'rr-soy-notill'!G83</f>
        <v>1000</v>
      </c>
      <c r="J3" s="104">
        <f t="shared" ref="J3:J11" si="4">H3/I3</f>
        <v>7.9773749999999994</v>
      </c>
    </row>
    <row r="4" spans="1:10" x14ac:dyDescent="0.25">
      <c r="A4" s="54" t="s">
        <v>141</v>
      </c>
      <c r="B4" s="54"/>
      <c r="C4" s="106">
        <f>('rr-soy-notill'!F84+('rr-soy-notill'!F84*0.29)+D4)/2</f>
        <v>204055</v>
      </c>
      <c r="D4" s="106">
        <f>('rr-soy-notill'!F84-('rr-soy-notill'!F84*0.29))/8</f>
        <v>26270</v>
      </c>
      <c r="E4" s="106">
        <f t="shared" si="0"/>
        <v>12243.3</v>
      </c>
      <c r="F4" s="106">
        <f t="shared" si="1"/>
        <v>1020.275</v>
      </c>
      <c r="G4" s="106">
        <f t="shared" si="2"/>
        <v>2040.55</v>
      </c>
      <c r="H4" s="105">
        <f t="shared" si="3"/>
        <v>41574.125000000007</v>
      </c>
      <c r="I4" s="124">
        <f>'rr-soy-notill'!G84</f>
        <v>2000</v>
      </c>
      <c r="J4" s="104">
        <f t="shared" si="4"/>
        <v>20.787062500000005</v>
      </c>
    </row>
    <row r="5" spans="1:10" x14ac:dyDescent="0.25">
      <c r="A5" s="54"/>
      <c r="B5" s="54" t="s">
        <v>130</v>
      </c>
      <c r="C5" s="106">
        <f>('rr-soy-notill'!F85+('rr-soy-notill'!F85*0.29)+D5)/2</f>
        <v>17923.75</v>
      </c>
      <c r="D5" s="106">
        <f>('rr-soy-notill'!F85-('rr-soy-notill'!F85*0.29))/8</f>
        <v>2307.5</v>
      </c>
      <c r="E5" s="106">
        <f t="shared" si="0"/>
        <v>1075.425</v>
      </c>
      <c r="F5" s="106">
        <f t="shared" si="1"/>
        <v>89.618750000000006</v>
      </c>
      <c r="G5" s="106">
        <f t="shared" si="2"/>
        <v>179.23750000000001</v>
      </c>
      <c r="H5" s="105">
        <f t="shared" si="3"/>
        <v>3651.7812500000005</v>
      </c>
      <c r="I5" s="124">
        <f>'rr-soy-notill'!G85</f>
        <v>1000</v>
      </c>
      <c r="J5" s="104">
        <f t="shared" si="4"/>
        <v>3.6517812500000004</v>
      </c>
    </row>
    <row r="6" spans="1:10" x14ac:dyDescent="0.25">
      <c r="A6" s="54" t="s">
        <v>131</v>
      </c>
      <c r="B6" s="54"/>
      <c r="C6" s="106">
        <f>('rr-soy-notill'!F86+('rr-soy-notill'!F86*0.36)+D6)/2</f>
        <v>50400</v>
      </c>
      <c r="D6" s="106">
        <f>('rr-soy-notill'!F86-('rr-soy-notill'!F86*0.36))/8</f>
        <v>5600</v>
      </c>
      <c r="E6" s="106">
        <f t="shared" si="0"/>
        <v>3024</v>
      </c>
      <c r="F6" s="106">
        <f t="shared" si="1"/>
        <v>252</v>
      </c>
      <c r="G6" s="106">
        <f t="shared" si="2"/>
        <v>504</v>
      </c>
      <c r="H6" s="105">
        <f t="shared" si="3"/>
        <v>9380</v>
      </c>
      <c r="I6" s="124">
        <f>'rr-soy-notill'!G86</f>
        <v>2000</v>
      </c>
      <c r="J6" s="104">
        <f t="shared" si="4"/>
        <v>4.6900000000000004</v>
      </c>
    </row>
    <row r="7" spans="1:10" x14ac:dyDescent="0.25">
      <c r="A7" s="54" t="s">
        <v>40</v>
      </c>
      <c r="B7" s="54"/>
      <c r="C7" s="106">
        <f>('rr-soy-notill'!F87+('rr-soy-notill'!F87*0.34)+D7)/2</f>
        <v>8535</v>
      </c>
      <c r="D7" s="106">
        <f>('rr-soy-notill'!F87-('rr-soy-notill'!F87*0.34))/8</f>
        <v>990</v>
      </c>
      <c r="E7" s="106">
        <f t="shared" si="0"/>
        <v>512.1</v>
      </c>
      <c r="F7" s="106">
        <f t="shared" si="1"/>
        <v>42.675000000000004</v>
      </c>
      <c r="G7" s="106">
        <f t="shared" si="2"/>
        <v>85.350000000000009</v>
      </c>
      <c r="H7" s="105">
        <f t="shared" si="3"/>
        <v>1630.1249999999998</v>
      </c>
      <c r="I7" s="124">
        <f>'rr-soy-notill'!G87</f>
        <v>2000</v>
      </c>
      <c r="J7" s="104">
        <f t="shared" si="4"/>
        <v>0.81506249999999991</v>
      </c>
    </row>
    <row r="8" spans="1:10" x14ac:dyDescent="0.25">
      <c r="A8" s="54" t="s">
        <v>132</v>
      </c>
      <c r="B8" s="54"/>
      <c r="C8" s="106">
        <f>('rr-soy-notill'!F88+('rr-soy-notill'!F88*0.34)+D8)/2</f>
        <v>44453.125</v>
      </c>
      <c r="D8" s="106">
        <f>('rr-soy-notill'!F88-('rr-soy-notill'!F88*0.34))/8</f>
        <v>5156.25</v>
      </c>
      <c r="E8" s="106">
        <f>0.06*C8</f>
        <v>2667.1875</v>
      </c>
      <c r="F8" s="106">
        <f>0.005*C8</f>
        <v>222.265625</v>
      </c>
      <c r="G8" s="106">
        <f>0.01*C8</f>
        <v>444.53125</v>
      </c>
      <c r="H8" s="105">
        <f>SUM(D8:G8)</f>
        <v>8490.234375</v>
      </c>
      <c r="I8" s="124">
        <f>'rr-soy-notill'!G88</f>
        <v>2000</v>
      </c>
      <c r="J8" s="104">
        <f>H8/I8</f>
        <v>4.2451171875</v>
      </c>
    </row>
    <row r="9" spans="1:10" x14ac:dyDescent="0.25">
      <c r="A9" s="54" t="s">
        <v>142</v>
      </c>
      <c r="B9" s="54"/>
      <c r="C9" s="106">
        <f>('rr-soy-notill'!F89+('rr-soy-notill'!F89*0.36)+D9)/2</f>
        <v>192240</v>
      </c>
      <c r="D9" s="106">
        <f>('rr-soy-notill'!F89-('rr-soy-notill'!F89*0.36))/8</f>
        <v>21360</v>
      </c>
      <c r="E9" s="106">
        <f t="shared" si="0"/>
        <v>11534.4</v>
      </c>
      <c r="F9" s="106">
        <f t="shared" si="1"/>
        <v>961.2</v>
      </c>
      <c r="G9" s="106">
        <f t="shared" si="2"/>
        <v>1922.4</v>
      </c>
      <c r="H9" s="105">
        <f t="shared" si="3"/>
        <v>35778</v>
      </c>
      <c r="I9" s="124">
        <f>'rr-soy-notill'!G89</f>
        <v>2000</v>
      </c>
      <c r="J9" s="104">
        <f t="shared" si="4"/>
        <v>17.888999999999999</v>
      </c>
    </row>
    <row r="10" spans="1:10" x14ac:dyDescent="0.25">
      <c r="A10" s="54" t="s">
        <v>143</v>
      </c>
      <c r="B10" s="54"/>
      <c r="C10" s="106">
        <f>('rr-soy-notill'!F90+('rr-soy-notill'!F90*0.41)+D10)/2</f>
        <v>54898.75</v>
      </c>
      <c r="D10" s="106">
        <f>('rr-soy-notill'!F90-('rr-soy-notill'!F90*0.41))/8</f>
        <v>5457.5</v>
      </c>
      <c r="E10" s="106">
        <f t="shared" si="0"/>
        <v>3293.9249999999997</v>
      </c>
      <c r="F10" s="106">
        <f t="shared" si="1"/>
        <v>274.49375000000003</v>
      </c>
      <c r="G10" s="106">
        <f t="shared" si="2"/>
        <v>548.98750000000007</v>
      </c>
      <c r="H10" s="105">
        <f t="shared" si="3"/>
        <v>9574.9062499999982</v>
      </c>
      <c r="I10" s="124">
        <f>'rr-soy-notill'!G90</f>
        <v>1000</v>
      </c>
      <c r="J10" s="104">
        <f t="shared" si="4"/>
        <v>9.574906249999998</v>
      </c>
    </row>
    <row r="11" spans="1:10" x14ac:dyDescent="0.25">
      <c r="A11" s="73" t="s">
        <v>62</v>
      </c>
      <c r="B11" s="73"/>
      <c r="C11" s="110">
        <f>('rr-soy-notill'!F91+('rr-soy-notill'!F91*0.36)+D11)/2</f>
        <v>14400</v>
      </c>
      <c r="D11" s="110">
        <f>('rr-soy-notill'!F91-('rr-soy-notill'!F91*0.36))/8</f>
        <v>1600</v>
      </c>
      <c r="E11" s="110">
        <f t="shared" si="0"/>
        <v>864</v>
      </c>
      <c r="F11" s="110">
        <f t="shared" si="1"/>
        <v>72</v>
      </c>
      <c r="G11" s="110">
        <f t="shared" si="2"/>
        <v>144</v>
      </c>
      <c r="H11" s="111">
        <f t="shared" si="3"/>
        <v>2680</v>
      </c>
      <c r="I11" s="125">
        <f>'rr-soy-notill'!G91</f>
        <v>2000</v>
      </c>
      <c r="J11" s="112">
        <f t="shared" si="4"/>
        <v>1.34</v>
      </c>
    </row>
    <row r="12" spans="1:10" x14ac:dyDescent="0.25">
      <c r="D12" s="92">
        <f>SUM(D2:D11)</f>
        <v>90311.25</v>
      </c>
      <c r="E12" s="92">
        <f>SUM(E2:E11)</f>
        <v>46944.637499999997</v>
      </c>
      <c r="F12" s="92">
        <f>SUM(F2:F11)</f>
        <v>3912.0531250000008</v>
      </c>
      <c r="G12" s="92">
        <f>SUM(G2:G11)</f>
        <v>7824.1062500000016</v>
      </c>
      <c r="H12" s="92">
        <f>SUM(H2:H11)</f>
        <v>148992.046875</v>
      </c>
      <c r="I12" s="9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A21" sqref="A21"/>
    </sheetView>
  </sheetViews>
  <sheetFormatPr defaultRowHeight="12.5" x14ac:dyDescent="0.25"/>
  <cols>
    <col min="3" max="3" width="6.81640625" customWidth="1"/>
    <col min="4" max="4" width="13.54296875" customWidth="1"/>
    <col min="7" max="7" width="12.54296875" customWidth="1"/>
    <col min="8" max="8" width="10.81640625" customWidth="1"/>
    <col min="9" max="9" width="12.54296875" customWidth="1"/>
  </cols>
  <sheetData>
    <row r="1" spans="1:9" x14ac:dyDescent="0.25">
      <c r="A1" s="202" t="s">
        <v>156</v>
      </c>
      <c r="B1" s="203"/>
      <c r="C1" s="203"/>
      <c r="D1" s="203"/>
      <c r="E1" s="203"/>
      <c r="F1" s="203"/>
      <c r="G1" s="203"/>
      <c r="H1" s="203"/>
      <c r="I1" s="204"/>
    </row>
    <row r="2" spans="1:9" ht="13" thickBot="1" x14ac:dyDescent="0.3">
      <c r="A2" s="205"/>
      <c r="B2" s="206"/>
      <c r="C2" s="206"/>
      <c r="D2" s="206"/>
      <c r="E2" s="206"/>
      <c r="F2" s="206"/>
      <c r="G2" s="206"/>
      <c r="H2" s="206"/>
      <c r="I2" s="207"/>
    </row>
    <row r="3" spans="1:9" ht="20.5" thickTop="1" x14ac:dyDescent="0.4">
      <c r="A3" s="208" t="s">
        <v>108</v>
      </c>
      <c r="B3" s="208"/>
      <c r="C3" s="208"/>
      <c r="D3" s="208" t="s">
        <v>109</v>
      </c>
      <c r="E3" s="208"/>
      <c r="F3" s="208"/>
      <c r="G3" s="209" t="s">
        <v>110</v>
      </c>
      <c r="H3" s="209"/>
      <c r="I3" s="210"/>
    </row>
    <row r="4" spans="1:9" ht="20" x14ac:dyDescent="0.4">
      <c r="A4" s="129" t="s">
        <v>111</v>
      </c>
      <c r="B4" s="130"/>
      <c r="C4" s="128"/>
      <c r="D4" s="128"/>
      <c r="E4" s="128"/>
      <c r="F4" s="128"/>
      <c r="G4" s="172">
        <f>'rr-soy-notill'!L8</f>
        <v>46.6</v>
      </c>
      <c r="H4" s="173"/>
      <c r="I4" s="174">
        <f>'rr-soy-notill'!M8</f>
        <v>55.9</v>
      </c>
    </row>
    <row r="5" spans="1:9" ht="20" x14ac:dyDescent="0.4">
      <c r="A5" s="131" t="s">
        <v>122</v>
      </c>
      <c r="B5" s="131"/>
      <c r="C5" s="132"/>
      <c r="D5" s="149">
        <f>'rr-soy-notill'!$I$11</f>
        <v>11.8</v>
      </c>
      <c r="E5" s="132" t="s">
        <v>112</v>
      </c>
      <c r="F5" s="132"/>
      <c r="G5" s="149">
        <f>'rr-soy-notill'!$L$11</f>
        <v>549.88</v>
      </c>
      <c r="H5" s="149"/>
      <c r="I5" s="150">
        <f>'rr-soy-notill'!$M$11</f>
        <v>659.62</v>
      </c>
    </row>
    <row r="6" spans="1:9" ht="6" customHeight="1" x14ac:dyDescent="0.4">
      <c r="A6" s="128"/>
      <c r="B6" s="128"/>
      <c r="C6" s="128"/>
      <c r="D6" s="134"/>
      <c r="E6" s="128"/>
      <c r="F6" s="146"/>
      <c r="G6" s="148"/>
      <c r="H6" s="148"/>
      <c r="I6" s="148"/>
    </row>
    <row r="7" spans="1:9" ht="20" x14ac:dyDescent="0.4">
      <c r="A7" s="135" t="s">
        <v>113</v>
      </c>
      <c r="B7" s="147"/>
      <c r="C7" s="130"/>
      <c r="D7" s="134"/>
      <c r="E7" s="128"/>
      <c r="F7" s="128"/>
      <c r="G7" s="141"/>
      <c r="H7" s="141"/>
      <c r="I7" s="141"/>
    </row>
    <row r="8" spans="1:9" ht="20" x14ac:dyDescent="0.4">
      <c r="A8" s="136" t="s">
        <v>114</v>
      </c>
      <c r="B8" s="136"/>
      <c r="C8" s="136"/>
      <c r="D8" s="137">
        <f>'rr-soy-notill'!$I$16</f>
        <v>0.41</v>
      </c>
      <c r="E8" s="133" t="s">
        <v>123</v>
      </c>
      <c r="F8" s="133"/>
      <c r="G8" s="139">
        <f>'rr-soy-notill'!$L$16</f>
        <v>73.8</v>
      </c>
      <c r="H8" s="139"/>
      <c r="I8" s="140">
        <f>'rr-soy-notill'!$M$16</f>
        <v>73.8</v>
      </c>
    </row>
    <row r="9" spans="1:9" ht="24" x14ac:dyDescent="0.6">
      <c r="A9" s="136" t="s">
        <v>124</v>
      </c>
      <c r="B9" s="136"/>
      <c r="C9" s="136"/>
      <c r="D9" s="152">
        <f>'rr-soy-notill'!$F$62</f>
        <v>650</v>
      </c>
      <c r="E9" s="136" t="s">
        <v>92</v>
      </c>
      <c r="F9" s="136"/>
      <c r="G9" s="142">
        <f>'rr-soy-notill'!$L$18</f>
        <v>23.3</v>
      </c>
      <c r="H9" s="142"/>
      <c r="I9" s="143">
        <f>'rr-soy-notill'!$M$18</f>
        <v>27.95</v>
      </c>
    </row>
    <row r="10" spans="1:9" ht="24" x14ac:dyDescent="0.6">
      <c r="A10" s="136" t="s">
        <v>125</v>
      </c>
      <c r="B10" s="136"/>
      <c r="C10" s="136"/>
      <c r="D10" s="152">
        <f>'rr-soy-notill'!$J$62</f>
        <v>575</v>
      </c>
      <c r="E10" s="136" t="s">
        <v>92</v>
      </c>
      <c r="F10" s="136"/>
      <c r="G10" s="142">
        <f>'rr-soy-notill'!$L$19</f>
        <v>31.260833333333331</v>
      </c>
      <c r="H10" s="142"/>
      <c r="I10" s="143">
        <f>'rr-soy-notill'!$M$19</f>
        <v>37.499583333333334</v>
      </c>
    </row>
    <row r="11" spans="1:9" ht="20" x14ac:dyDescent="0.4">
      <c r="A11" s="136" t="s">
        <v>115</v>
      </c>
      <c r="B11" s="136"/>
      <c r="C11" s="136"/>
      <c r="D11" s="153"/>
      <c r="E11" s="136"/>
      <c r="F11" s="136"/>
      <c r="G11" s="142">
        <f>SUM('rr-soy-notill'!$L$21:$L$23)</f>
        <v>31.4</v>
      </c>
      <c r="H11" s="142"/>
      <c r="I11" s="143">
        <f>SUM('rr-soy-notill'!$M$21:$M$23)</f>
        <v>31.4</v>
      </c>
    </row>
    <row r="12" spans="1:9" ht="20" x14ac:dyDescent="0.4">
      <c r="A12" s="131" t="s">
        <v>118</v>
      </c>
      <c r="B12" s="131"/>
      <c r="C12" s="131"/>
      <c r="D12" s="138">
        <f>'rr-soy-notill'!$M$96</f>
        <v>3.5</v>
      </c>
      <c r="E12" s="131" t="s">
        <v>119</v>
      </c>
      <c r="F12" s="136"/>
      <c r="G12" s="142"/>
      <c r="H12" s="142"/>
      <c r="I12" s="154"/>
    </row>
    <row r="13" spans="1:9" ht="9" customHeight="1" x14ac:dyDescent="0.4">
      <c r="A13" s="128"/>
      <c r="B13" s="128"/>
      <c r="C13" s="128"/>
      <c r="D13" s="128"/>
      <c r="E13" s="128"/>
      <c r="F13" s="144"/>
      <c r="G13" s="145"/>
      <c r="H13" s="145"/>
      <c r="I13" s="145"/>
    </row>
    <row r="14" spans="1:9" ht="20" x14ac:dyDescent="0.4">
      <c r="A14" s="135" t="s">
        <v>116</v>
      </c>
      <c r="B14" s="130"/>
      <c r="C14" s="128"/>
      <c r="D14" s="128"/>
      <c r="E14" s="128"/>
      <c r="F14" s="128"/>
      <c r="G14" s="141"/>
      <c r="H14" s="141"/>
      <c r="I14" s="141"/>
    </row>
    <row r="15" spans="1:9" ht="20" x14ac:dyDescent="0.4">
      <c r="A15" s="161" t="s">
        <v>126</v>
      </c>
      <c r="B15" s="161"/>
      <c r="C15" s="161"/>
      <c r="D15" s="161"/>
      <c r="E15" s="161"/>
      <c r="F15" s="161"/>
      <c r="G15" s="139">
        <f>'rr-soy-notill'!L36+'rr-soy-notill'!L37</f>
        <v>57.494</v>
      </c>
      <c r="H15" s="139"/>
      <c r="I15" s="140">
        <f>'rr-soy-notill'!M36+'rr-soy-notill'!M37</f>
        <v>62.981000000000002</v>
      </c>
    </row>
    <row r="16" spans="1:9" ht="20" x14ac:dyDescent="0.4">
      <c r="A16" s="171" t="s">
        <v>67</v>
      </c>
      <c r="B16" s="171"/>
      <c r="C16" s="171"/>
      <c r="D16" s="171"/>
      <c r="E16" s="171"/>
      <c r="F16" s="171"/>
      <c r="G16" s="142">
        <f>'rr-soy-notill'!L38</f>
        <v>85.09805468750001</v>
      </c>
      <c r="H16" s="142"/>
      <c r="I16" s="143">
        <f>'rr-soy-notill'!M38</f>
        <v>85.09805468750001</v>
      </c>
    </row>
    <row r="17" spans="1:9" ht="20" x14ac:dyDescent="0.4">
      <c r="A17" s="131" t="s">
        <v>117</v>
      </c>
      <c r="B17" s="131"/>
      <c r="C17" s="131"/>
      <c r="D17" s="131"/>
      <c r="E17" s="131"/>
      <c r="F17" s="131"/>
      <c r="G17" s="151">
        <f>'rr-soy-notill'!L39</f>
        <v>195</v>
      </c>
      <c r="H17" s="151"/>
      <c r="I17" s="154">
        <f>'rr-soy-notill'!M39</f>
        <v>250</v>
      </c>
    </row>
    <row r="18" spans="1:9" ht="18.75" customHeight="1" x14ac:dyDescent="0.4">
      <c r="A18" s="128"/>
      <c r="B18" s="128"/>
      <c r="C18" s="175" t="s">
        <v>146</v>
      </c>
      <c r="G18" s="142">
        <f>'rr-soy-notill'!L45</f>
        <v>12.232167278331245</v>
      </c>
      <c r="H18" s="176"/>
      <c r="I18" s="142">
        <f>'rr-soy-notill'!N45</f>
        <v>10.820925012096527</v>
      </c>
    </row>
    <row r="19" spans="1:9" ht="20" x14ac:dyDescent="0.4">
      <c r="A19" s="135" t="s">
        <v>120</v>
      </c>
      <c r="B19" s="130"/>
      <c r="C19" s="128"/>
      <c r="D19" s="128"/>
      <c r="E19" s="128"/>
      <c r="F19" s="128"/>
      <c r="G19" s="141"/>
      <c r="H19" s="141"/>
      <c r="I19" s="141"/>
    </row>
    <row r="20" spans="1:9" ht="20" x14ac:dyDescent="0.4">
      <c r="A20" s="170" t="s">
        <v>157</v>
      </c>
      <c r="B20" s="170"/>
      <c r="C20" s="170"/>
      <c r="D20" s="170"/>
      <c r="E20" s="170"/>
      <c r="F20" s="170"/>
      <c r="G20" s="139">
        <f>'rr-soy-notill'!$L$50</f>
        <v>-20.138995170236058</v>
      </c>
      <c r="H20" s="139"/>
      <c r="I20" s="140">
        <f>'rr-soy-notill'!$M$50</f>
        <v>17.780146496430575</v>
      </c>
    </row>
    <row r="21" spans="1:9" ht="20" x14ac:dyDescent="0.4">
      <c r="A21" s="131" t="s">
        <v>121</v>
      </c>
      <c r="B21" s="131"/>
      <c r="C21" s="131"/>
      <c r="D21" s="131"/>
      <c r="E21" s="131"/>
      <c r="F21" s="131"/>
      <c r="G21" s="151">
        <f>'rr-soy-notill'!$L$48</f>
        <v>174.86100482976394</v>
      </c>
      <c r="H21" s="151"/>
      <c r="I21" s="154">
        <f>'rr-soy-notill'!$M$48</f>
        <v>267.78014649643058</v>
      </c>
    </row>
  </sheetData>
  <mergeCells count="4">
    <mergeCell ref="A1:I2"/>
    <mergeCell ref="A3:C3"/>
    <mergeCell ref="D3:F3"/>
    <mergeCell ref="G3:I3"/>
  </mergeCells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rr-soy-notill</vt:lpstr>
      <vt:lpstr>machinery costs</vt:lpstr>
      <vt:lpstr>Quick Stats</vt:lpstr>
      <vt:lpstr>'rr-soy-notill'!Print_Area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2011-07-27T18:48:20Z</cp:lastPrinted>
  <dcterms:created xsi:type="dcterms:W3CDTF">2002-12-27T15:58:24Z</dcterms:created>
  <dcterms:modified xsi:type="dcterms:W3CDTF">2016-12-01T18:03:00Z</dcterms:modified>
</cp:coreProperties>
</file>